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2.xml" ContentType="application/vnd.openxmlformats-officedocument.drawing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3bf4be011a8a04b/docs/1.NoBoxBV/5.Clients/KVK/Doc/demo perssoneelkosten/ontwikkeling V4/"/>
    </mc:Choice>
  </mc:AlternateContent>
  <xr:revisionPtr revIDLastSave="505" documentId="8_{6975D486-5FAE-499E-855A-FA006916140E}" xr6:coauthVersionLast="47" xr6:coauthVersionMax="47" xr10:uidLastSave="{567767CA-A2BA-4C84-99C9-9B1031E393B4}"/>
  <bookViews>
    <workbookView xWindow="38280" yWindow="-120" windowWidth="38640" windowHeight="21120" xr2:uid="{2133BCE6-F548-4D7C-B506-0BF38713FD3A}"/>
  </bookViews>
  <sheets>
    <sheet name="Personeel" sheetId="1" r:id="rId1"/>
    <sheet name="Overzichtig" sheetId="3" r:id="rId2"/>
    <sheet name="vastgegevens" sheetId="2" state="hidden" r:id="rId3"/>
  </sheets>
  <definedNames>
    <definedName name="BrutoMarge2021">Overzichtig!$D$33</definedName>
    <definedName name="BrutoMarge2022">Overzichtig!$E$33</definedName>
    <definedName name="BrutoWinst2021">Overzichtig!$D$31</definedName>
    <definedName name="BrutoWinst2022">Overzichtig!$E$31</definedName>
    <definedName name="BrutoWinst2023">Overzichtig!$F$31</definedName>
    <definedName name="BrutoWinst2024">Overzichtig!$G$31</definedName>
    <definedName name="BrutoWinst2025">Overzichtig!$H$31</definedName>
    <definedName name="DertiendeMaand">Personeel!$XEP$5</definedName>
    <definedName name="DirecteKosten2025">Overzichtig!$H$23:$H$28</definedName>
    <definedName name="DirekteKosten2021">Overzichtig!$D$23:$D$28</definedName>
    <definedName name="DirekteKosten2022">Overzichtig!$E$23:$E$28</definedName>
    <definedName name="DirekteKosten2023">Overzichtig!$F$23:$F$28</definedName>
    <definedName name="DirekteKosten2024">Overzichtig!$G$23:$G$28</definedName>
    <definedName name="IndirekteKosten2021">Overzichtig!$D$36:$D$45</definedName>
    <definedName name="IndirekteKosten2022">Overzichtig!$E$36:$E$45</definedName>
    <definedName name="IndirekteKosten2023">Overzichtig!$F$36:$F$45</definedName>
    <definedName name="IndirekteKosten2024">Overzichtig!$G$36:$G$45</definedName>
    <definedName name="IndirekteKosten2025">Overzichtig!$H$37:$H$45</definedName>
    <definedName name="leeftijd">tblLeeftijdPercentage[leeftijd]</definedName>
    <definedName name="lstFunctieNamen">Table6[FunctieNaam]</definedName>
    <definedName name="max_sal">vastgegevens!$C$14</definedName>
    <definedName name="minimum2023">Personeel!$XEP$6</definedName>
    <definedName name="minimum202401">Personeel!$XEP$7</definedName>
    <definedName name="minimum202402">Personeel!$XEP$8</definedName>
    <definedName name="minimum202501">Personeel!$XEP$9</definedName>
    <definedName name="minimum202601">Personeel!$XEP$10</definedName>
    <definedName name="Omzet2021">Overzichtig!$D$20</definedName>
    <definedName name="Omzet2022">Overzichtig!$E$20</definedName>
    <definedName name="Omzet2023">Overzichtig!$F$20</definedName>
    <definedName name="Omzet2024">Overzichtig!$G$20</definedName>
    <definedName name="Omzet2025">Overzichtig!$H$20</definedName>
    <definedName name="TotaaDirekteKosten2021">Overzichtig!$D$29</definedName>
    <definedName name="TotaalDirecteKosten2025">Overzichtig!$H$29</definedName>
    <definedName name="TotaalDirekteKodten2023">Overzichtig!$F$29</definedName>
    <definedName name="TotaalDirekteKosten2022">Overzichtig!$E$29</definedName>
    <definedName name="TotaalDirekteKosten2024">Overzichtig!$G$29</definedName>
    <definedName name="TotaalIndirekteKosten2021">Overzichtig!$D$46</definedName>
    <definedName name="TotaalIndirekteKosten2022">Overzichtig!$E$46</definedName>
    <definedName name="TotaalIndirekteKosten2023">Overzichtig!$F$46</definedName>
    <definedName name="TotaalIndirekteKosten2024">Overzichtig!$G$46</definedName>
    <definedName name="TotaalIndirekteKosten2025">Overzichtig!$H$46</definedName>
    <definedName name="UitbetaalPer">UitbetaalPeriode[uitbper]</definedName>
    <definedName name="WGP_2023">Personeel!$XEP$1</definedName>
    <definedName name="WGP_2024">Personeel!$XEP$2</definedName>
    <definedName name="WGP_2025">Personeel!$XEP$3</definedName>
    <definedName name="WGP_2026">Personeel!$XEP$4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38" i="1" l="1"/>
  <c r="T39" i="1"/>
  <c r="T46" i="1"/>
  <c r="T61" i="1"/>
  <c r="T71" i="1"/>
  <c r="T79" i="1"/>
  <c r="T80" i="1"/>
  <c r="D11" i="1"/>
  <c r="P20" i="1"/>
  <c r="Q20" i="1" s="1"/>
  <c r="P21" i="1"/>
  <c r="Q21" i="1" s="1"/>
  <c r="P22" i="1"/>
  <c r="Q22" i="1" s="1"/>
  <c r="P23" i="1"/>
  <c r="Q23" i="1" s="1"/>
  <c r="P24" i="1"/>
  <c r="Q24" i="1" s="1"/>
  <c r="P25" i="1"/>
  <c r="Q25" i="1" s="1"/>
  <c r="P26" i="1"/>
  <c r="T26" i="1" s="1"/>
  <c r="Q26" i="1"/>
  <c r="P27" i="1"/>
  <c r="Q27" i="1" s="1"/>
  <c r="P28" i="1"/>
  <c r="Q28" i="1" s="1"/>
  <c r="P29" i="1"/>
  <c r="Q29" i="1" s="1"/>
  <c r="P30" i="1"/>
  <c r="Q30" i="1" s="1"/>
  <c r="P31" i="1"/>
  <c r="T31" i="1" s="1"/>
  <c r="P32" i="1"/>
  <c r="Q32" i="1" s="1"/>
  <c r="P33" i="1"/>
  <c r="Q33" i="1" s="1"/>
  <c r="P34" i="1"/>
  <c r="T34" i="1" s="1"/>
  <c r="P35" i="1"/>
  <c r="Q35" i="1" s="1"/>
  <c r="P36" i="1"/>
  <c r="Q36" i="1" s="1"/>
  <c r="P37" i="1"/>
  <c r="Q37" i="1" s="1"/>
  <c r="P38" i="1"/>
  <c r="Q38" i="1" s="1"/>
  <c r="P39" i="1"/>
  <c r="P40" i="1"/>
  <c r="Q40" i="1" s="1"/>
  <c r="P41" i="1"/>
  <c r="Q41" i="1" s="1"/>
  <c r="P42" i="1"/>
  <c r="Q42" i="1" s="1"/>
  <c r="P43" i="1"/>
  <c r="Q43" i="1" s="1"/>
  <c r="P44" i="1"/>
  <c r="Q44" i="1" s="1"/>
  <c r="P45" i="1"/>
  <c r="Q45" i="1" s="1"/>
  <c r="P46" i="1"/>
  <c r="Q46" i="1" s="1"/>
  <c r="P47" i="1"/>
  <c r="T47" i="1" s="1"/>
  <c r="P48" i="1"/>
  <c r="Q48" i="1" s="1"/>
  <c r="P49" i="1"/>
  <c r="Q49" i="1" s="1"/>
  <c r="P50" i="1"/>
  <c r="Q50" i="1" s="1"/>
  <c r="P51" i="1"/>
  <c r="Q51" i="1" s="1"/>
  <c r="P52" i="1"/>
  <c r="Q52" i="1" s="1"/>
  <c r="P53" i="1"/>
  <c r="Q53" i="1" s="1"/>
  <c r="P54" i="1"/>
  <c r="Q54" i="1" s="1"/>
  <c r="P55" i="1"/>
  <c r="T55" i="1" s="1"/>
  <c r="P56" i="1"/>
  <c r="Q56" i="1" s="1"/>
  <c r="P57" i="1"/>
  <c r="Q57" i="1" s="1"/>
  <c r="P58" i="1"/>
  <c r="Q58" i="1" s="1"/>
  <c r="P59" i="1"/>
  <c r="Q59" i="1" s="1"/>
  <c r="P60" i="1"/>
  <c r="Q60" i="1" s="1"/>
  <c r="P61" i="1"/>
  <c r="Q61" i="1" s="1"/>
  <c r="P62" i="1"/>
  <c r="Q62" i="1" s="1"/>
  <c r="P63" i="1"/>
  <c r="T63" i="1" s="1"/>
  <c r="P64" i="1"/>
  <c r="Q64" i="1" s="1"/>
  <c r="P65" i="1"/>
  <c r="Q65" i="1" s="1"/>
  <c r="P66" i="1"/>
  <c r="Q66" i="1" s="1"/>
  <c r="P67" i="1"/>
  <c r="Q67" i="1" s="1"/>
  <c r="P68" i="1"/>
  <c r="Q68" i="1" s="1"/>
  <c r="P69" i="1"/>
  <c r="Q69" i="1" s="1"/>
  <c r="P70" i="1"/>
  <c r="Q70" i="1" s="1"/>
  <c r="P71" i="1"/>
  <c r="P72" i="1"/>
  <c r="Q72" i="1" s="1"/>
  <c r="P73" i="1"/>
  <c r="Q73" i="1" s="1"/>
  <c r="P74" i="1"/>
  <c r="Q74" i="1" s="1"/>
  <c r="P75" i="1"/>
  <c r="Q75" i="1" s="1"/>
  <c r="P76" i="1"/>
  <c r="Q76" i="1" s="1"/>
  <c r="P77" i="1"/>
  <c r="Q77" i="1" s="1"/>
  <c r="P78" i="1"/>
  <c r="Q78" i="1" s="1"/>
  <c r="P79" i="1"/>
  <c r="Q79" i="1" s="1"/>
  <c r="P80" i="1"/>
  <c r="Q80" i="1" s="1"/>
  <c r="P81" i="1"/>
  <c r="Q81" i="1" s="1"/>
  <c r="T33" i="1" l="1"/>
  <c r="T73" i="1"/>
  <c r="T53" i="1"/>
  <c r="T32" i="1"/>
  <c r="T56" i="1"/>
  <c r="T72" i="1"/>
  <c r="T49" i="1"/>
  <c r="T57" i="1"/>
  <c r="T25" i="1"/>
  <c r="T65" i="1"/>
  <c r="T45" i="1"/>
  <c r="T24" i="1"/>
  <c r="T64" i="1"/>
  <c r="T41" i="1"/>
  <c r="T23" i="1"/>
  <c r="T81" i="1"/>
  <c r="T70" i="1"/>
  <c r="T30" i="1"/>
  <c r="T21" i="1"/>
  <c r="T76" i="1"/>
  <c r="T68" i="1"/>
  <c r="T60" i="1"/>
  <c r="T52" i="1"/>
  <c r="T44" i="1"/>
  <c r="T36" i="1"/>
  <c r="T28" i="1"/>
  <c r="T20" i="1"/>
  <c r="T48" i="1"/>
  <c r="T40" i="1"/>
  <c r="T62" i="1"/>
  <c r="T54" i="1"/>
  <c r="T22" i="1"/>
  <c r="T77" i="1"/>
  <c r="T29" i="1"/>
  <c r="Q34" i="1"/>
  <c r="T75" i="1"/>
  <c r="T67" i="1"/>
  <c r="T59" i="1"/>
  <c r="T51" i="1"/>
  <c r="T43" i="1"/>
  <c r="T35" i="1"/>
  <c r="T27" i="1"/>
  <c r="T78" i="1"/>
  <c r="T69" i="1"/>
  <c r="T37" i="1"/>
  <c r="T74" i="1"/>
  <c r="T66" i="1"/>
  <c r="T58" i="1"/>
  <c r="T50" i="1"/>
  <c r="T42" i="1"/>
  <c r="Q71" i="1"/>
  <c r="Q63" i="1"/>
  <c r="Q55" i="1"/>
  <c r="Q47" i="1"/>
  <c r="Q39" i="1"/>
  <c r="Q31" i="1"/>
  <c r="C11" i="1"/>
  <c r="C9" i="1" s="1"/>
  <c r="D9" i="1"/>
  <c r="P19" i="1" s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B81" i="1" l="1"/>
  <c r="AC81" i="1"/>
  <c r="AB80" i="1"/>
  <c r="AC80" i="1"/>
  <c r="AB79" i="1"/>
  <c r="AC79" i="1"/>
  <c r="AB78" i="1"/>
  <c r="AC78" i="1"/>
  <c r="AB77" i="1"/>
  <c r="AC77" i="1"/>
  <c r="AB76" i="1"/>
  <c r="AC76" i="1"/>
  <c r="AB75" i="1"/>
  <c r="AC75" i="1"/>
  <c r="AB74" i="1"/>
  <c r="AC74" i="1"/>
  <c r="AB73" i="1"/>
  <c r="AC73" i="1"/>
  <c r="AB72" i="1"/>
  <c r="AC72" i="1"/>
  <c r="AB71" i="1"/>
  <c r="AC71" i="1"/>
  <c r="AB70" i="1"/>
  <c r="AC70" i="1"/>
  <c r="AB69" i="1"/>
  <c r="AC69" i="1"/>
  <c r="AB68" i="1"/>
  <c r="AC68" i="1"/>
  <c r="AB67" i="1"/>
  <c r="AC67" i="1"/>
  <c r="AB66" i="1"/>
  <c r="AC66" i="1"/>
  <c r="AB65" i="1"/>
  <c r="AC65" i="1"/>
  <c r="AB64" i="1"/>
  <c r="AC64" i="1"/>
  <c r="AB63" i="1"/>
  <c r="AC63" i="1"/>
  <c r="AB62" i="1"/>
  <c r="AC62" i="1"/>
  <c r="AB61" i="1"/>
  <c r="AC61" i="1"/>
  <c r="AB60" i="1"/>
  <c r="AC60" i="1"/>
  <c r="AB59" i="1"/>
  <c r="AC59" i="1"/>
  <c r="AB58" i="1"/>
  <c r="AC58" i="1"/>
  <c r="AB57" i="1"/>
  <c r="AC57" i="1"/>
  <c r="AB56" i="1"/>
  <c r="AC56" i="1"/>
  <c r="AB55" i="1"/>
  <c r="AC55" i="1"/>
  <c r="AB54" i="1"/>
  <c r="AC54" i="1"/>
  <c r="AB53" i="1"/>
  <c r="AC53" i="1"/>
  <c r="AB52" i="1"/>
  <c r="AC52" i="1"/>
  <c r="AB51" i="1"/>
  <c r="AC51" i="1"/>
  <c r="AB50" i="1"/>
  <c r="AC50" i="1"/>
  <c r="AB49" i="1"/>
  <c r="AC49" i="1"/>
  <c r="AB48" i="1"/>
  <c r="AC48" i="1"/>
  <c r="AB47" i="1"/>
  <c r="AC47" i="1"/>
  <c r="AB46" i="1"/>
  <c r="AC46" i="1"/>
  <c r="AB45" i="1"/>
  <c r="AC45" i="1"/>
  <c r="G36" i="3"/>
  <c r="F36" i="3"/>
  <c r="AB44" i="1"/>
  <c r="AC44" i="1"/>
  <c r="AB43" i="1"/>
  <c r="AC43" i="1"/>
  <c r="AB42" i="1"/>
  <c r="AC42" i="1"/>
  <c r="AB41" i="1"/>
  <c r="AC41" i="1"/>
  <c r="AB40" i="1"/>
  <c r="AC40" i="1"/>
  <c r="AB39" i="1"/>
  <c r="AC39" i="1"/>
  <c r="AA38" i="1"/>
  <c r="AB38" i="1"/>
  <c r="AC38" i="1"/>
  <c r="AA37" i="1"/>
  <c r="AB37" i="1"/>
  <c r="AC37" i="1"/>
  <c r="AA36" i="1"/>
  <c r="AB36" i="1"/>
  <c r="AC36" i="1"/>
  <c r="AA35" i="1"/>
  <c r="AB35" i="1"/>
  <c r="AC35" i="1"/>
  <c r="AA34" i="1"/>
  <c r="AB34" i="1"/>
  <c r="AC34" i="1"/>
  <c r="AA33" i="1"/>
  <c r="AB33" i="1"/>
  <c r="AC33" i="1"/>
  <c r="AA32" i="1"/>
  <c r="AB32" i="1"/>
  <c r="AC32" i="1"/>
  <c r="AA31" i="1"/>
  <c r="AB31" i="1"/>
  <c r="AC31" i="1"/>
  <c r="AA30" i="1"/>
  <c r="AB30" i="1"/>
  <c r="AC30" i="1"/>
  <c r="AA29" i="1"/>
  <c r="AB29" i="1"/>
  <c r="AC29" i="1"/>
  <c r="AA28" i="1"/>
  <c r="AB28" i="1"/>
  <c r="AC28" i="1"/>
  <c r="AA27" i="1"/>
  <c r="AB27" i="1"/>
  <c r="AC27" i="1"/>
  <c r="AA26" i="1"/>
  <c r="AB26" i="1"/>
  <c r="AC26" i="1"/>
  <c r="AA25" i="1"/>
  <c r="AB25" i="1"/>
  <c r="AC25" i="1"/>
  <c r="AA24" i="1"/>
  <c r="AB24" i="1"/>
  <c r="AC24" i="1"/>
  <c r="AA23" i="1"/>
  <c r="AB23" i="1"/>
  <c r="AC23" i="1"/>
  <c r="AA22" i="1"/>
  <c r="AB22" i="1"/>
  <c r="AC22" i="1"/>
  <c r="AA21" i="1"/>
  <c r="AB21" i="1"/>
  <c r="AC21" i="1"/>
  <c r="AA20" i="1"/>
  <c r="AB20" i="1"/>
  <c r="AC20" i="1"/>
  <c r="AA19" i="1"/>
  <c r="AB19" i="1"/>
  <c r="AC19" i="1"/>
  <c r="E46" i="3"/>
  <c r="D46" i="3"/>
  <c r="E29" i="3"/>
  <c r="E31" i="3" s="1"/>
  <c r="E33" i="3" s="1"/>
  <c r="D29" i="3"/>
  <c r="D31" i="3" s="1"/>
  <c r="D33" i="3" s="1"/>
  <c r="D13" i="1"/>
  <c r="D14" i="1"/>
  <c r="D15" i="1"/>
  <c r="D16" i="1"/>
  <c r="D12" i="1"/>
  <c r="C13" i="1"/>
  <c r="C14" i="1"/>
  <c r="C15" i="1"/>
  <c r="C16" i="1"/>
  <c r="C12" i="1"/>
  <c r="G37" i="3" l="1"/>
  <c r="T19" i="1"/>
  <c r="T82" i="1" s="1"/>
  <c r="Q19" i="1"/>
  <c r="K22" i="1"/>
  <c r="K25" i="1"/>
  <c r="K33" i="1"/>
  <c r="K20" i="1"/>
  <c r="K28" i="1"/>
  <c r="L31" i="1"/>
  <c r="K36" i="1"/>
  <c r="K31" i="1"/>
  <c r="L34" i="1"/>
  <c r="K26" i="1"/>
  <c r="K34" i="1"/>
  <c r="L37" i="1"/>
  <c r="K23" i="1"/>
  <c r="K21" i="1"/>
  <c r="K37" i="1"/>
  <c r="K29" i="1"/>
  <c r="L32" i="1"/>
  <c r="K24" i="1"/>
  <c r="K32" i="1"/>
  <c r="L35" i="1"/>
  <c r="K27" i="1"/>
  <c r="L30" i="1"/>
  <c r="K35" i="1"/>
  <c r="L38" i="1"/>
  <c r="K30" i="1"/>
  <c r="K38" i="1"/>
  <c r="L33" i="1"/>
  <c r="L36" i="1"/>
  <c r="K19" i="1"/>
  <c r="L26" i="1"/>
  <c r="L29" i="1"/>
  <c r="L21" i="1"/>
  <c r="L24" i="1"/>
  <c r="L27" i="1"/>
  <c r="L22" i="1"/>
  <c r="L25" i="1"/>
  <c r="L20" i="1"/>
  <c r="L28" i="1"/>
  <c r="L23" i="1"/>
  <c r="L48" i="1"/>
  <c r="L49" i="1"/>
  <c r="K39" i="1"/>
  <c r="K43" i="1"/>
  <c r="K46" i="1"/>
  <c r="K50" i="1"/>
  <c r="K54" i="1"/>
  <c r="K58" i="1"/>
  <c r="K41" i="1"/>
  <c r="L40" i="1"/>
  <c r="L44" i="1"/>
  <c r="L47" i="1"/>
  <c r="L51" i="1"/>
  <c r="L55" i="1"/>
  <c r="L59" i="1"/>
  <c r="L56" i="1"/>
  <c r="L42" i="1"/>
  <c r="K40" i="1"/>
  <c r="K44" i="1"/>
  <c r="K47" i="1"/>
  <c r="K51" i="1"/>
  <c r="K55" i="1"/>
  <c r="K59" i="1"/>
  <c r="K48" i="1"/>
  <c r="K52" i="1"/>
  <c r="K56" i="1"/>
  <c r="K60" i="1"/>
  <c r="L57" i="1"/>
  <c r="L41" i="1"/>
  <c r="L60" i="1"/>
  <c r="L53" i="1"/>
  <c r="K42" i="1"/>
  <c r="K45" i="1"/>
  <c r="K49" i="1"/>
  <c r="K53" i="1"/>
  <c r="K57" i="1"/>
  <c r="L52" i="1"/>
  <c r="L45" i="1"/>
  <c r="L39" i="1"/>
  <c r="L43" i="1"/>
  <c r="L46" i="1"/>
  <c r="L50" i="1"/>
  <c r="L54" i="1"/>
  <c r="L58" i="1"/>
  <c r="K74" i="1"/>
  <c r="K78" i="1"/>
  <c r="K70" i="1"/>
  <c r="L63" i="1"/>
  <c r="L67" i="1"/>
  <c r="L75" i="1"/>
  <c r="L79" i="1"/>
  <c r="K63" i="1"/>
  <c r="K67" i="1"/>
  <c r="K71" i="1"/>
  <c r="K75" i="1"/>
  <c r="K79" i="1"/>
  <c r="L71" i="1"/>
  <c r="L64" i="1"/>
  <c r="L68" i="1"/>
  <c r="L72" i="1"/>
  <c r="L76" i="1"/>
  <c r="L80" i="1"/>
  <c r="K64" i="1"/>
  <c r="K68" i="1"/>
  <c r="K72" i="1"/>
  <c r="K76" i="1"/>
  <c r="K80" i="1"/>
  <c r="K62" i="1"/>
  <c r="L65" i="1"/>
  <c r="L73" i="1"/>
  <c r="L81" i="1"/>
  <c r="K61" i="1"/>
  <c r="K65" i="1"/>
  <c r="K69" i="1"/>
  <c r="K73" i="1"/>
  <c r="K77" i="1"/>
  <c r="K81" i="1"/>
  <c r="K66" i="1"/>
  <c r="L61" i="1"/>
  <c r="L69" i="1"/>
  <c r="L77" i="1"/>
  <c r="L62" i="1"/>
  <c r="L66" i="1"/>
  <c r="L70" i="1"/>
  <c r="L74" i="1"/>
  <c r="L78" i="1"/>
  <c r="L19" i="1"/>
  <c r="D48" i="3" a="1"/>
  <c r="D48" i="3" s="1"/>
  <c r="E48" i="3" a="1"/>
  <c r="E48" i="3" s="1"/>
  <c r="XET4" i="1"/>
  <c r="AC82" i="1" l="1"/>
  <c r="G23" i="3" l="1"/>
  <c r="G10" i="3"/>
  <c r="G46" i="3"/>
  <c r="G49" i="3" l="1"/>
  <c r="G24" i="3"/>
  <c r="G29" i="3" s="1"/>
  <c r="G31" i="3" s="1"/>
  <c r="G13" i="3"/>
  <c r="G11" i="3"/>
  <c r="G33" i="3" l="1"/>
  <c r="G48" i="3"/>
  <c r="G12" i="3"/>
  <c r="L82" i="1"/>
  <c r="F23" i="3" l="1"/>
  <c r="F24" i="3" s="1"/>
  <c r="F29" i="3" s="1"/>
  <c r="F31" i="3" s="1"/>
  <c r="F33" i="3" s="1"/>
  <c r="F10" i="3"/>
  <c r="I10" i="3" s="1"/>
  <c r="F37" i="3"/>
  <c r="F46" i="3" s="1"/>
  <c r="F48" i="3" l="1"/>
  <c r="F11" i="3"/>
  <c r="I11" i="3" s="1"/>
  <c r="F12" i="3" l="1"/>
  <c r="I12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<sst xmlns="http://schemas.openxmlformats.org/spreadsheetml/2006/main" count="134" uniqueCount="110">
  <si>
    <t>WGP</t>
  </si>
  <si>
    <t>2023</t>
  </si>
  <si>
    <t>2024</t>
  </si>
  <si>
    <t>minimumloon</t>
  </si>
  <si>
    <t>1 juli 2024</t>
  </si>
  <si>
    <t>Naam</t>
  </si>
  <si>
    <t xml:space="preserve">Disclaimer:Berekeningen die op deze website kunnen worden gemaakt zijn indicatief. Aan deze berekeningen kunnen geen rechten worden ontleend. </t>
  </si>
  <si>
    <t>Evenmin kunnen rechten worden ontleend aan berekeningen die worden verkregen door middel van op deze website als download of anderszins beschikbaar gestelde software.</t>
  </si>
  <si>
    <t>Personeelskosten berekening</t>
  </si>
  <si>
    <t>Functienaam</t>
  </si>
  <si>
    <t>Deeltijd</t>
  </si>
  <si>
    <t>Quincena</t>
  </si>
  <si>
    <t>Betaald Loon Nov 2023</t>
  </si>
  <si>
    <t>leeftijd</t>
  </si>
  <si>
    <t>percentage</t>
  </si>
  <si>
    <t>21 en ouder</t>
  </si>
  <si>
    <t>Leeftijd</t>
  </si>
  <si>
    <t>Maandloon</t>
  </si>
  <si>
    <t>uitbetalings deel</t>
  </si>
  <si>
    <t>leeftijd percentage</t>
  </si>
  <si>
    <t>uitbper</t>
  </si>
  <si>
    <t>deelfactor</t>
  </si>
  <si>
    <t>Uurloon</t>
  </si>
  <si>
    <t>wgp_2023</t>
  </si>
  <si>
    <t>WGP_2024</t>
  </si>
  <si>
    <t>13 maand</t>
  </si>
  <si>
    <t>Ja</t>
  </si>
  <si>
    <t>aantal uitbetalingen</t>
  </si>
  <si>
    <t>aantal uitb</t>
  </si>
  <si>
    <t>??</t>
  </si>
  <si>
    <t>uren per week</t>
  </si>
  <si>
    <t>Omzet</t>
  </si>
  <si>
    <t>Bruto winst</t>
  </si>
  <si>
    <t>Jaar</t>
  </si>
  <si>
    <t>Bruto Marge</t>
  </si>
  <si>
    <t>Huur</t>
  </si>
  <si>
    <t>WEB</t>
  </si>
  <si>
    <t>Wagenpark</t>
  </si>
  <si>
    <t>Personeelskosten</t>
  </si>
  <si>
    <t>..</t>
  </si>
  <si>
    <t>Netto Winst</t>
  </si>
  <si>
    <t>Total</t>
  </si>
  <si>
    <t>Uitbetalings periode</t>
  </si>
  <si>
    <t>Loon per jaar 2023</t>
  </si>
  <si>
    <t>Ber  uurloon 11-23 ( $7.13)</t>
  </si>
  <si>
    <t>Minimumloon</t>
  </si>
  <si>
    <t>Totaal directe kosten</t>
  </si>
  <si>
    <t>Totaal indirekte kosten</t>
  </si>
  <si>
    <t>13de maand 2023</t>
  </si>
  <si>
    <t>vakantie 2023</t>
  </si>
  <si>
    <t>Gratificatie 2023</t>
  </si>
  <si>
    <t>Direkte kosten</t>
  </si>
  <si>
    <t>Evenmin kunnen rechten worden ontleend aan berekeningen die worden verkregen door 
middel van op deze website als download of anderszins beschikbaar gestelde software.</t>
  </si>
  <si>
    <t>uitzendkrachten</t>
  </si>
  <si>
    <t>min2023</t>
  </si>
  <si>
    <t>min202401</t>
  </si>
  <si>
    <t>min202402</t>
  </si>
  <si>
    <t>Indirekte kosten</t>
  </si>
  <si>
    <t>Afschrijving</t>
  </si>
  <si>
    <t xml:space="preserve">Indien men bij uitbetalingsperioce voor uurloon kiest , moet men het aantal uren per week en uurloon invullen </t>
  </si>
  <si>
    <t>Verwijder alle rijen met uitbetalingsperiode = uurloon die niet mee doen in de berekning
rightclick -&gt; delete -&gt; table row</t>
  </si>
  <si>
    <t>BetaaldLoon kolom wordt niet bijgewerkt,  jaarloon wordtwordt echter wel berekend tbv
 personeelskosten</t>
  </si>
  <si>
    <t>Uitzendkrachten</t>
  </si>
  <si>
    <t>FunctieNaam</t>
  </si>
  <si>
    <t>Bedrijfsleider</t>
  </si>
  <si>
    <t>Teamleider</t>
  </si>
  <si>
    <t>Schoonmaakster</t>
  </si>
  <si>
    <t>Metselaar</t>
  </si>
  <si>
    <t>Timmerman</t>
  </si>
  <si>
    <t>Secretaresse</t>
  </si>
  <si>
    <t>Boekhouder</t>
  </si>
  <si>
    <t>Telefooniste</t>
  </si>
  <si>
    <t>Schilder</t>
  </si>
  <si>
    <t>Directeur</t>
  </si>
  <si>
    <t>Beveiliging sr</t>
  </si>
  <si>
    <t>Beveiliging jr</t>
  </si>
  <si>
    <t>Kok</t>
  </si>
  <si>
    <t>Kassamedewerker</t>
  </si>
  <si>
    <t>Keukenmedewerker</t>
  </si>
  <si>
    <t>Bediening</t>
  </si>
  <si>
    <t>Administratie</t>
  </si>
  <si>
    <t>Helper</t>
  </si>
  <si>
    <t>Frontdesk</t>
  </si>
  <si>
    <t>Housekeeping</t>
  </si>
  <si>
    <t>Maintance</t>
  </si>
  <si>
    <t>Waiter</t>
  </si>
  <si>
    <t>Bartender</t>
  </si>
  <si>
    <t>Totaal</t>
  </si>
  <si>
    <t>min202501</t>
  </si>
  <si>
    <t>WGP_2025</t>
  </si>
  <si>
    <t>min202601</t>
  </si>
  <si>
    <t>WGP_2026</t>
  </si>
  <si>
    <t>13de maand 2026</t>
  </si>
  <si>
    <t>Gratificatie 2026</t>
  </si>
  <si>
    <t>Vakantie 2026</t>
  </si>
  <si>
    <t>Betaald Loon 01 2026</t>
  </si>
  <si>
    <t>Jan-26</t>
  </si>
  <si>
    <t>Ber Uurloon 01-26</t>
  </si>
  <si>
    <t>Loon per jaar 2026</t>
  </si>
  <si>
    <t>WPG Tegemoetkoming (13.4% - 10,3%)</t>
  </si>
  <si>
    <t>Verschil 23-26</t>
  </si>
  <si>
    <t>WPG Tegemoetkoming (13.4% - 10.3%)</t>
  </si>
  <si>
    <t>leeg</t>
  </si>
  <si>
    <t>leeg2</t>
  </si>
  <si>
    <t>leeg3</t>
  </si>
  <si>
    <t>leeg4</t>
  </si>
  <si>
    <t>leeg5</t>
  </si>
  <si>
    <t>leeg6</t>
  </si>
  <si>
    <t>leeg7</t>
  </si>
  <si>
    <t>leeg8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</si>
</sst>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4" formatCode="_(&quot;$&quot;* #,##0.00_);_(&quot;$&quot;* \(#,##0.00\);_(&quot;$&quot;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6"/>
      <color rgb="FF00439A"/>
      <name val="Calibri"/>
      <family val="2"/>
      <scheme val="minor"/>
    </font>
    <font>
      <b/>
      <sz val="20"/>
      <color rgb="FF00439A"/>
      <name val="Calibri"/>
      <family val="2"/>
      <scheme val="minor"/>
    </font>
    <font>
      <b/>
      <sz val="11"/>
      <color rgb="FF00439A"/>
      <name val="Calibri"/>
      <family val="2"/>
      <scheme val="minor"/>
    </font>
    <font>
      <sz val="10"/>
      <color rgb="FF00439A"/>
      <name val="Calibri"/>
      <family val="2"/>
      <scheme val="minor"/>
    </font>
    <font>
      <b/>
      <sz val="18"/>
      <color rgb="FF00439A"/>
      <name val="Calibri"/>
      <family val="2"/>
      <scheme val="minor"/>
    </font>
    <font>
      <b/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439A"/>
      <name val="Calibri"/>
      <family val="2"/>
      <scheme val="minor"/>
    </font>
    <font>
      <sz val="11"/>
      <color rgb="FF00439A"/>
      <name val="Calibri"/>
      <family val="2"/>
      <scheme val="minor"/>
    </font>
    <font>
      <sz val="20"/>
      <color rgb="FF00439A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CFFD5"/>
        <bgColor indexed="64"/>
      </patternFill>
    </fill>
    <fill>
      <patternFill patternType="solid">
        <fgColor rgb="FFFFF489"/>
        <bgColor indexed="64"/>
      </patternFill>
    </fill>
    <fill>
      <patternFill patternType="solid">
        <fgColor rgb="FFFFF275"/>
        <bgColor indexed="64"/>
      </patternFill>
    </fill>
    <fill>
      <patternFill patternType="solid">
        <fgColor rgb="FFE5F7F5"/>
        <bgColor indexed="64"/>
      </patternFill>
    </fill>
  </fills>
  <borders count="30">
    <border>
      <left/>
      <right/>
      <top/>
      <bottom/>
      <diagonal/>
    </border>
    <border diagonalUp="1" diagonalDown="1">
      <left/>
      <right/>
      <top/>
      <bottom/>
      <diagonal style="thin">
        <color auto="1"/>
      </diagonal>
    </border>
    <border>
      <left style="thick">
        <color rgb="FF00439A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ashed">
        <color rgb="FFFFE600"/>
      </right>
      <top style="dashed">
        <color rgb="FFFFE600"/>
      </top>
      <bottom style="dashed">
        <color rgb="FFFFE6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ashed">
        <color rgb="FFFFE600"/>
      </top>
      <bottom style="dashed">
        <color rgb="FFFFE600"/>
      </bottom>
      <diagonal/>
    </border>
    <border>
      <left style="dashed">
        <color rgb="FFFFE600"/>
      </left>
      <right style="thin">
        <color indexed="64"/>
      </right>
      <top style="dashed">
        <color rgb="FFFFE600"/>
      </top>
      <bottom style="dashed">
        <color rgb="FFFFE600"/>
      </bottom>
      <diagonal/>
    </border>
    <border>
      <left style="dashed">
        <color rgb="FFFFE600"/>
      </left>
      <right/>
      <top style="dashed">
        <color rgb="FFFFE600"/>
      </top>
      <bottom style="dashed">
        <color rgb="FFFFE600"/>
      </bottom>
      <diagonal/>
    </border>
    <border>
      <left/>
      <right/>
      <top style="dashed">
        <color rgb="FFFFE600"/>
      </top>
      <bottom style="dashed">
        <color rgb="FFFFE600"/>
      </bottom>
      <diagonal/>
    </border>
    <border>
      <left/>
      <right/>
      <top style="dashed">
        <color rgb="FFFFE600"/>
      </top>
      <bottom/>
      <diagonal/>
    </border>
    <border>
      <left/>
      <right/>
      <top/>
      <bottom style="dashed">
        <color rgb="FFFFE600"/>
      </bottom>
      <diagonal/>
    </border>
    <border>
      <left style="medium">
        <color indexed="64"/>
      </left>
      <right style="dashed">
        <color rgb="FFFFE600"/>
      </right>
      <top style="medium">
        <color indexed="64"/>
      </top>
      <bottom style="dashed">
        <color rgb="FFFFE600"/>
      </bottom>
      <diagonal/>
    </border>
    <border>
      <left/>
      <right/>
      <top style="medium">
        <color indexed="64"/>
      </top>
      <bottom style="dashed">
        <color rgb="FFFFE600"/>
      </bottom>
      <diagonal/>
    </border>
    <border>
      <left/>
      <right style="medium">
        <color indexed="64"/>
      </right>
      <top style="dashed">
        <color rgb="FFFFE600"/>
      </top>
      <bottom style="dashed">
        <color rgb="FFFFE600"/>
      </bottom>
      <diagonal/>
    </border>
    <border>
      <left style="medium">
        <color indexed="64"/>
      </left>
      <right style="dashed">
        <color rgb="FFFFE600"/>
      </right>
      <top style="dashed">
        <color rgb="FFFFE600"/>
      </top>
      <bottom/>
      <diagonal/>
    </border>
    <border>
      <left/>
      <right style="medium">
        <color indexed="64"/>
      </right>
      <top style="dashed">
        <color rgb="FFFFE600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5">
    <xf numFmtId="0" fontId="0" fillId="0" borderId="0" xfId="0"/>
    <xf numFmtId="10" fontId="0" fillId="0" borderId="0" xfId="0" applyNumberFormat="1"/>
    <xf numFmtId="44" fontId="0" fillId="0" borderId="0" xfId="1" applyFont="1"/>
    <xf numFmtId="0" fontId="0" fillId="0" borderId="1" xfId="0" applyBorder="1"/>
    <xf numFmtId="14" fontId="0" fillId="0" borderId="0" xfId="0" quotePrefix="1" applyNumberFormat="1"/>
    <xf numFmtId="44" fontId="0" fillId="0" borderId="0" xfId="0" applyNumberFormat="1"/>
    <xf numFmtId="44" fontId="6" fillId="2" borderId="0" xfId="1" applyFont="1" applyFill="1" applyBorder="1" applyAlignment="1" applyProtection="1">
      <alignment vertical="top"/>
    </xf>
    <xf numFmtId="0" fontId="8" fillId="0" borderId="0" xfId="0" applyFont="1"/>
    <xf numFmtId="44" fontId="0" fillId="0" borderId="0" xfId="1" applyFont="1" applyFill="1" applyBorder="1"/>
    <xf numFmtId="0" fontId="9" fillId="0" borderId="0" xfId="0" applyFont="1"/>
    <xf numFmtId="10" fontId="9" fillId="0" borderId="0" xfId="0" applyNumberFormat="1" applyFont="1"/>
    <xf numFmtId="9" fontId="9" fillId="0" borderId="0" xfId="2" applyFont="1"/>
    <xf numFmtId="0" fontId="9" fillId="0" borderId="0" xfId="2" applyNumberFormat="1" applyFont="1" applyAlignment="1" applyProtection="1">
      <alignment horizontal="right" vertical="center"/>
      <protection locked="0"/>
    </xf>
    <xf numFmtId="10" fontId="9" fillId="0" borderId="0" xfId="2" applyNumberFormat="1" applyFont="1" applyAlignment="1" applyProtection="1">
      <alignment horizontal="right" vertical="center"/>
      <protection locked="0"/>
    </xf>
    <xf numFmtId="0" fontId="9" fillId="0" borderId="0" xfId="1" applyNumberFormat="1" applyFont="1" applyAlignment="1" applyProtection="1">
      <alignment horizontal="right" vertical="center"/>
      <protection locked="0"/>
    </xf>
    <xf numFmtId="44" fontId="9" fillId="0" borderId="0" xfId="0" applyNumberFormat="1" applyFont="1"/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left" wrapText="1"/>
    </xf>
    <xf numFmtId="17" fontId="9" fillId="0" borderId="0" xfId="0" applyNumberFormat="1" applyFont="1"/>
    <xf numFmtId="44" fontId="9" fillId="0" borderId="0" xfId="2" applyNumberFormat="1" applyFont="1"/>
    <xf numFmtId="44" fontId="9" fillId="0" borderId="0" xfId="1" applyFont="1" applyAlignment="1" applyProtection="1">
      <alignment horizontal="right" vertical="center"/>
      <protection locked="0"/>
    </xf>
    <xf numFmtId="0" fontId="0" fillId="2" borderId="6" xfId="0" applyFill="1" applyBorder="1"/>
    <xf numFmtId="0" fontId="0" fillId="2" borderId="0" xfId="0" applyFill="1"/>
    <xf numFmtId="0" fontId="6" fillId="2" borderId="6" xfId="1" quotePrefix="1" applyNumberFormat="1" applyFont="1" applyFill="1" applyBorder="1" applyAlignment="1" applyProtection="1">
      <alignment horizontal="left"/>
    </xf>
    <xf numFmtId="0" fontId="12" fillId="0" borderId="0" xfId="0" applyFont="1" applyAlignment="1">
      <alignment horizontal="left" vertical="top"/>
    </xf>
    <xf numFmtId="0" fontId="12" fillId="0" borderId="0" xfId="0" applyFont="1" applyAlignment="1">
      <alignment horizontal="center" vertical="top"/>
    </xf>
    <xf numFmtId="44" fontId="11" fillId="0" borderId="0" xfId="1" applyFont="1" applyFill="1" applyBorder="1" applyAlignment="1" applyProtection="1">
      <alignment horizontal="left" vertical="center"/>
    </xf>
    <xf numFmtId="0" fontId="9" fillId="0" borderId="0" xfId="0" applyFont="1" applyProtection="1">
      <protection locked="0"/>
    </xf>
    <xf numFmtId="10" fontId="9" fillId="0" borderId="0" xfId="0" applyNumberFormat="1" applyFont="1" applyProtection="1">
      <protection locked="0"/>
    </xf>
    <xf numFmtId="44" fontId="9" fillId="0" borderId="0" xfId="1" applyFont="1" applyProtection="1">
      <protection locked="0"/>
    </xf>
    <xf numFmtId="10" fontId="9" fillId="0" borderId="0" xfId="1" applyNumberFormat="1" applyFont="1" applyProtection="1">
      <protection locked="0"/>
    </xf>
    <xf numFmtId="44" fontId="9" fillId="0" borderId="0" xfId="1" applyFont="1" applyProtection="1"/>
    <xf numFmtId="2" fontId="9" fillId="0" borderId="0" xfId="1" applyNumberFormat="1" applyFont="1" applyProtection="1"/>
    <xf numFmtId="0" fontId="4" fillId="2" borderId="0" xfId="0" applyFont="1" applyFill="1" applyAlignment="1">
      <alignment vertical="top"/>
    </xf>
    <xf numFmtId="0" fontId="0" fillId="2" borderId="7" xfId="0" applyFill="1" applyBorder="1"/>
    <xf numFmtId="0" fontId="4" fillId="2" borderId="0" xfId="0" applyFont="1" applyFill="1" applyAlignment="1">
      <alignment vertical="top" wrapText="1"/>
    </xf>
    <xf numFmtId="0" fontId="0" fillId="2" borderId="0" xfId="0" applyFill="1" applyAlignment="1">
      <alignment wrapText="1"/>
    </xf>
    <xf numFmtId="0" fontId="14" fillId="0" borderId="0" xfId="0" applyFont="1"/>
    <xf numFmtId="0" fontId="0" fillId="3" borderId="12" xfId="0" applyFill="1" applyBorder="1"/>
    <xf numFmtId="0" fontId="0" fillId="3" borderId="13" xfId="0" applyFill="1" applyBorder="1"/>
    <xf numFmtId="44" fontId="0" fillId="3" borderId="13" xfId="0" applyNumberFormat="1" applyFill="1" applyBorder="1"/>
    <xf numFmtId="44" fontId="0" fillId="3" borderId="14" xfId="0" applyNumberFormat="1" applyFill="1" applyBorder="1"/>
    <xf numFmtId="0" fontId="10" fillId="5" borderId="2" xfId="0" applyFont="1" applyFill="1" applyBorder="1" applyProtection="1">
      <protection locked="0"/>
    </xf>
    <xf numFmtId="0" fontId="10" fillId="5" borderId="0" xfId="2" applyNumberFormat="1" applyFont="1" applyFill="1" applyBorder="1" applyAlignment="1" applyProtection="1">
      <alignment horizontal="right" vertical="center"/>
      <protection locked="0"/>
    </xf>
    <xf numFmtId="10" fontId="10" fillId="5" borderId="0" xfId="2" applyNumberFormat="1" applyFont="1" applyFill="1" applyBorder="1" applyAlignment="1" applyProtection="1">
      <alignment horizontal="right" vertical="center"/>
      <protection locked="0"/>
    </xf>
    <xf numFmtId="0" fontId="10" fillId="5" borderId="0" xfId="1" applyNumberFormat="1" applyFont="1" applyFill="1" applyBorder="1" applyAlignment="1" applyProtection="1">
      <alignment horizontal="right" vertical="center"/>
      <protection locked="0"/>
    </xf>
    <xf numFmtId="0" fontId="10" fillId="2" borderId="2" xfId="0" applyFont="1" applyFill="1" applyBorder="1" applyProtection="1">
      <protection locked="0"/>
    </xf>
    <xf numFmtId="0" fontId="10" fillId="2" borderId="0" xfId="2" applyNumberFormat="1" applyFont="1" applyFill="1" applyBorder="1" applyAlignment="1" applyProtection="1">
      <alignment horizontal="right" vertical="center"/>
      <protection locked="0"/>
    </xf>
    <xf numFmtId="10" fontId="10" fillId="2" borderId="0" xfId="2" applyNumberFormat="1" applyFont="1" applyFill="1" applyBorder="1" applyAlignment="1" applyProtection="1">
      <alignment horizontal="right" vertical="center"/>
      <protection locked="0"/>
    </xf>
    <xf numFmtId="0" fontId="10" fillId="2" borderId="0" xfId="1" applyNumberFormat="1" applyFont="1" applyFill="1" applyBorder="1" applyAlignment="1" applyProtection="1">
      <alignment horizontal="right" vertical="center"/>
      <protection locked="0"/>
    </xf>
    <xf numFmtId="44" fontId="9" fillId="0" borderId="0" xfId="1" applyFont="1" applyFill="1" applyProtection="1"/>
    <xf numFmtId="0" fontId="10" fillId="2" borderId="0" xfId="0" applyFont="1" applyFill="1" applyProtection="1">
      <protection locked="0"/>
    </xf>
    <xf numFmtId="10" fontId="10" fillId="2" borderId="0" xfId="0" applyNumberFormat="1" applyFont="1" applyFill="1" applyProtection="1">
      <protection locked="0"/>
    </xf>
    <xf numFmtId="44" fontId="10" fillId="2" borderId="0" xfId="1" applyFont="1" applyFill="1" applyBorder="1" applyAlignment="1" applyProtection="1">
      <alignment horizontal="right" vertical="center"/>
      <protection locked="0"/>
    </xf>
    <xf numFmtId="44" fontId="10" fillId="2" borderId="0" xfId="1" applyFont="1" applyFill="1" applyBorder="1" applyProtection="1">
      <protection locked="0"/>
    </xf>
    <xf numFmtId="0" fontId="10" fillId="5" borderId="0" xfId="0" applyFont="1" applyFill="1" applyProtection="1">
      <protection locked="0"/>
    </xf>
    <xf numFmtId="10" fontId="10" fillId="5" borderId="0" xfId="0" applyNumberFormat="1" applyFont="1" applyFill="1" applyProtection="1">
      <protection locked="0"/>
    </xf>
    <xf numFmtId="44" fontId="10" fillId="5" borderId="0" xfId="1" applyFont="1" applyFill="1" applyBorder="1" applyAlignment="1" applyProtection="1">
      <alignment horizontal="right" vertical="center"/>
      <protection locked="0"/>
    </xf>
    <xf numFmtId="44" fontId="10" fillId="5" borderId="0" xfId="1" applyFont="1" applyFill="1" applyBorder="1" applyProtection="1">
      <protection locked="0"/>
    </xf>
    <xf numFmtId="0" fontId="10" fillId="0" borderId="0" xfId="1" applyNumberFormat="1" applyFont="1" applyFill="1" applyBorder="1" applyAlignment="1" applyProtection="1">
      <alignment horizontal="right" vertical="center"/>
      <protection locked="0"/>
    </xf>
    <xf numFmtId="44" fontId="10" fillId="0" borderId="0" xfId="1" applyFont="1" applyFill="1" applyBorder="1" applyProtection="1">
      <protection locked="0"/>
    </xf>
    <xf numFmtId="44" fontId="10" fillId="0" borderId="0" xfId="1" applyFont="1" applyFill="1" applyBorder="1" applyAlignment="1" applyProtection="1">
      <alignment horizontal="right" vertical="center"/>
      <protection locked="0"/>
    </xf>
    <xf numFmtId="0" fontId="4" fillId="2" borderId="0" xfId="0" applyFont="1" applyFill="1" applyAlignment="1">
      <alignment horizontal="left" vertical="top"/>
    </xf>
    <xf numFmtId="16" fontId="9" fillId="0" borderId="0" xfId="0" applyNumberFormat="1" applyFont="1"/>
    <xf numFmtId="0" fontId="4" fillId="2" borderId="0" xfId="0" applyFont="1" applyFill="1" applyAlignment="1">
      <alignment horizontal="center" vertical="top"/>
    </xf>
    <xf numFmtId="44" fontId="5" fillId="2" borderId="0" xfId="1" applyFont="1" applyFill="1" applyBorder="1" applyAlignment="1" applyProtection="1">
      <alignment horizontal="left" vertical="center"/>
    </xf>
    <xf numFmtId="9" fontId="9" fillId="0" borderId="0" xfId="2" applyFont="1" applyProtection="1">
      <protection locked="0"/>
    </xf>
    <xf numFmtId="9" fontId="0" fillId="0" borderId="0" xfId="2" applyFont="1"/>
    <xf numFmtId="44" fontId="5" fillId="3" borderId="0" xfId="1" applyFont="1" applyFill="1" applyBorder="1" applyAlignment="1">
      <alignment horizontal="right" vertical="center"/>
    </xf>
    <xf numFmtId="44" fontId="10" fillId="2" borderId="0" xfId="1" applyFont="1" applyFill="1" applyBorder="1" applyAlignment="1">
      <alignment horizontal="right" vertical="center"/>
    </xf>
    <xf numFmtId="44" fontId="5" fillId="4" borderId="18" xfId="1" applyFont="1" applyFill="1" applyBorder="1" applyAlignment="1">
      <alignment horizontal="right" vertical="center"/>
    </xf>
    <xf numFmtId="44" fontId="10" fillId="4" borderId="18" xfId="1" applyFont="1" applyFill="1" applyBorder="1" applyAlignment="1">
      <alignment horizontal="right" vertical="center"/>
    </xf>
    <xf numFmtId="44" fontId="5" fillId="4" borderId="19" xfId="1" applyFont="1" applyFill="1" applyBorder="1" applyAlignment="1">
      <alignment horizontal="right" vertical="center"/>
    </xf>
    <xf numFmtId="44" fontId="10" fillId="4" borderId="20" xfId="1" applyFont="1" applyFill="1" applyBorder="1" applyAlignment="1">
      <alignment horizontal="right" vertical="center"/>
    </xf>
    <xf numFmtId="44" fontId="6" fillId="2" borderId="0" xfId="1" applyFont="1" applyFill="1" applyBorder="1" applyAlignment="1">
      <alignment horizontal="right" vertical="center"/>
    </xf>
    <xf numFmtId="9" fontId="5" fillId="3" borderId="0" xfId="2" applyFont="1" applyFill="1" applyBorder="1" applyAlignment="1">
      <alignment horizontal="right" vertical="center"/>
    </xf>
    <xf numFmtId="44" fontId="5" fillId="4" borderId="21" xfId="1" applyFont="1" applyFill="1" applyBorder="1" applyAlignment="1">
      <alignment horizontal="right" vertical="center"/>
    </xf>
    <xf numFmtId="44" fontId="5" fillId="4" borderId="22" xfId="1" applyFont="1" applyFill="1" applyBorder="1" applyAlignment="1">
      <alignment horizontal="right" vertical="center"/>
    </xf>
    <xf numFmtId="0" fontId="5" fillId="4" borderId="4" xfId="1" applyNumberFormat="1" applyFont="1" applyFill="1" applyBorder="1" applyAlignment="1">
      <alignment horizontal="right" vertical="center"/>
    </xf>
    <xf numFmtId="0" fontId="5" fillId="4" borderId="5" xfId="1" applyNumberFormat="1" applyFont="1" applyFill="1" applyBorder="1" applyAlignment="1">
      <alignment horizontal="right" vertical="center"/>
    </xf>
    <xf numFmtId="44" fontId="5" fillId="4" borderId="11" xfId="1" applyFont="1" applyFill="1" applyBorder="1" applyAlignment="1">
      <alignment horizontal="right" vertical="center"/>
    </xf>
    <xf numFmtId="44" fontId="6" fillId="2" borderId="23" xfId="1" applyFont="1" applyFill="1" applyBorder="1" applyAlignment="1">
      <alignment horizontal="right" vertical="center"/>
    </xf>
    <xf numFmtId="44" fontId="10" fillId="4" borderId="11" xfId="1" applyFont="1" applyFill="1" applyBorder="1" applyAlignment="1">
      <alignment horizontal="right" vertical="center"/>
    </xf>
    <xf numFmtId="44" fontId="10" fillId="4" borderId="15" xfId="1" applyFont="1" applyFill="1" applyBorder="1" applyAlignment="1">
      <alignment horizontal="right" vertical="center"/>
    </xf>
    <xf numFmtId="44" fontId="5" fillId="3" borderId="23" xfId="1" applyFont="1" applyFill="1" applyBorder="1" applyAlignment="1">
      <alignment horizontal="right" vertical="center"/>
    </xf>
    <xf numFmtId="9" fontId="5" fillId="3" borderId="23" xfId="2" applyFont="1" applyFill="1" applyBorder="1" applyAlignment="1">
      <alignment horizontal="right" vertical="center"/>
    </xf>
    <xf numFmtId="44" fontId="5" fillId="4" borderId="24" xfId="1" applyFont="1" applyFill="1" applyBorder="1" applyAlignment="1">
      <alignment horizontal="right" vertical="center"/>
    </xf>
    <xf numFmtId="44" fontId="5" fillId="3" borderId="25" xfId="1" applyFont="1" applyFill="1" applyBorder="1" applyAlignment="1">
      <alignment horizontal="right" vertical="center"/>
    </xf>
    <xf numFmtId="44" fontId="5" fillId="4" borderId="9" xfId="1" applyFont="1" applyFill="1" applyBorder="1" applyAlignment="1">
      <alignment horizontal="right" vertical="center"/>
    </xf>
    <xf numFmtId="44" fontId="5" fillId="4" borderId="10" xfId="1" applyFont="1" applyFill="1" applyBorder="1" applyAlignment="1">
      <alignment horizontal="right" vertical="center"/>
    </xf>
    <xf numFmtId="44" fontId="5" fillId="0" borderId="16" xfId="1" applyFont="1" applyFill="1" applyBorder="1" applyAlignment="1">
      <alignment horizontal="right" vertical="center"/>
    </xf>
    <xf numFmtId="44" fontId="3" fillId="0" borderId="17" xfId="1" applyFont="1" applyFill="1" applyBorder="1" applyAlignment="1">
      <alignment horizontal="right" vertical="center"/>
    </xf>
    <xf numFmtId="44" fontId="3" fillId="0" borderId="18" xfId="1" applyFont="1" applyFill="1" applyBorder="1" applyAlignment="1">
      <alignment horizontal="right" vertical="center"/>
    </xf>
    <xf numFmtId="44" fontId="3" fillId="3" borderId="0" xfId="1" applyFont="1" applyFill="1" applyBorder="1" applyAlignment="1">
      <alignment horizontal="right" vertical="center"/>
    </xf>
    <xf numFmtId="0" fontId="16" fillId="4" borderId="0" xfId="0" applyFont="1" applyFill="1" applyAlignment="1">
      <alignment horizontal="right"/>
    </xf>
    <xf numFmtId="44" fontId="3" fillId="3" borderId="3" xfId="1" applyFont="1" applyFill="1" applyBorder="1" applyAlignment="1">
      <alignment horizontal="right" vertical="center"/>
    </xf>
    <xf numFmtId="44" fontId="3" fillId="3" borderId="4" xfId="1" applyFont="1" applyFill="1" applyBorder="1" applyAlignment="1">
      <alignment horizontal="right" vertical="center"/>
    </xf>
    <xf numFmtId="0" fontId="15" fillId="3" borderId="4" xfId="0" applyFont="1" applyFill="1" applyBorder="1" applyAlignment="1">
      <alignment horizontal="right"/>
    </xf>
    <xf numFmtId="0" fontId="15" fillId="3" borderId="5" xfId="0" applyFont="1" applyFill="1" applyBorder="1" applyAlignment="1">
      <alignment horizontal="right"/>
    </xf>
    <xf numFmtId="44" fontId="3" fillId="3" borderId="6" xfId="1" applyFont="1" applyFill="1" applyBorder="1" applyAlignment="1">
      <alignment horizontal="right" vertical="center"/>
    </xf>
    <xf numFmtId="44" fontId="3" fillId="3" borderId="7" xfId="1" applyFont="1" applyFill="1" applyBorder="1" applyAlignment="1">
      <alignment horizontal="right" vertical="center"/>
    </xf>
    <xf numFmtId="44" fontId="3" fillId="3" borderId="6" xfId="1" applyFont="1" applyFill="1" applyBorder="1" applyAlignment="1">
      <alignment horizontal="left" vertical="center"/>
    </xf>
    <xf numFmtId="0" fontId="16" fillId="4" borderId="7" xfId="0" applyFont="1" applyFill="1" applyBorder="1" applyAlignment="1">
      <alignment horizontal="right"/>
    </xf>
    <xf numFmtId="44" fontId="3" fillId="3" borderId="8" xfId="1" applyFont="1" applyFill="1" applyBorder="1" applyAlignment="1">
      <alignment horizontal="left" vertical="center"/>
    </xf>
    <xf numFmtId="44" fontId="3" fillId="3" borderId="9" xfId="1" applyFont="1" applyFill="1" applyBorder="1" applyAlignment="1">
      <alignment horizontal="right" vertical="center"/>
    </xf>
    <xf numFmtId="0" fontId="16" fillId="4" borderId="9" xfId="0" applyFont="1" applyFill="1" applyBorder="1" applyAlignment="1">
      <alignment horizontal="right"/>
    </xf>
    <xf numFmtId="0" fontId="16" fillId="4" borderId="10" xfId="0" applyFont="1" applyFill="1" applyBorder="1" applyAlignment="1">
      <alignment horizontal="right"/>
    </xf>
    <xf numFmtId="0" fontId="10" fillId="0" borderId="0" xfId="0" applyFont="1" applyProtection="1">
      <protection locked="0"/>
    </xf>
    <xf numFmtId="10" fontId="10" fillId="0" borderId="0" xfId="0" applyNumberFormat="1" applyFont="1" applyProtection="1">
      <protection locked="0"/>
    </xf>
    <xf numFmtId="0" fontId="10" fillId="0" borderId="0" xfId="2" applyNumberFormat="1" applyFont="1" applyFill="1" applyBorder="1" applyAlignment="1" applyProtection="1">
      <alignment horizontal="right" vertical="center"/>
      <protection locked="0"/>
    </xf>
    <xf numFmtId="10" fontId="10" fillId="0" borderId="0" xfId="2" applyNumberFormat="1" applyFont="1" applyFill="1" applyBorder="1" applyAlignment="1" applyProtection="1">
      <alignment horizontal="right" vertical="center"/>
      <protection locked="0"/>
    </xf>
    <xf numFmtId="0" fontId="4" fillId="2" borderId="4" xfId="0" applyFont="1" applyFill="1" applyBorder="1" applyAlignment="1">
      <alignment horizontal="center" vertical="top"/>
    </xf>
    <xf numFmtId="0" fontId="4" fillId="2" borderId="5" xfId="0" applyFont="1" applyFill="1" applyBorder="1" applyAlignment="1">
      <alignment horizontal="center" vertical="top"/>
    </xf>
    <xf numFmtId="0" fontId="4" fillId="2" borderId="7" xfId="0" applyFont="1" applyFill="1" applyBorder="1" applyAlignment="1">
      <alignment horizontal="left" vertical="top"/>
    </xf>
    <xf numFmtId="44" fontId="5" fillId="2" borderId="9" xfId="1" applyFont="1" applyFill="1" applyBorder="1" applyAlignment="1" applyProtection="1">
      <alignment horizontal="left" vertical="center"/>
    </xf>
    <xf numFmtId="44" fontId="5" fillId="2" borderId="10" xfId="1" applyFont="1" applyFill="1" applyBorder="1" applyAlignment="1" applyProtection="1">
      <alignment horizontal="left" vertical="center"/>
    </xf>
    <xf numFmtId="44" fontId="5" fillId="3" borderId="7" xfId="1" applyFont="1" applyFill="1" applyBorder="1" applyAlignment="1">
      <alignment horizontal="right" vertical="center"/>
    </xf>
    <xf numFmtId="44" fontId="3" fillId="3" borderId="26" xfId="1" applyFont="1" applyFill="1" applyBorder="1" applyAlignment="1">
      <alignment horizontal="right" vertical="center"/>
    </xf>
    <xf numFmtId="44" fontId="3" fillId="3" borderId="27" xfId="1" applyFont="1" applyFill="1" applyBorder="1" applyAlignment="1">
      <alignment horizontal="right" vertical="center"/>
    </xf>
    <xf numFmtId="44" fontId="10" fillId="2" borderId="28" xfId="1" applyFont="1" applyFill="1" applyBorder="1" applyAlignment="1" applyProtection="1">
      <alignment horizontal="right" vertical="center"/>
      <protection locked="0"/>
    </xf>
    <xf numFmtId="44" fontId="3" fillId="0" borderId="0" xfId="1" applyFont="1" applyFill="1" applyBorder="1" applyProtection="1"/>
    <xf numFmtId="44" fontId="3" fillId="0" borderId="0" xfId="1" applyFont="1" applyFill="1" applyBorder="1" applyAlignment="1" applyProtection="1"/>
    <xf numFmtId="0" fontId="3" fillId="0" borderId="0" xfId="1" applyNumberFormat="1" applyFont="1" applyFill="1" applyBorder="1" applyProtection="1"/>
    <xf numFmtId="44" fontId="3" fillId="0" borderId="0" xfId="1" applyFont="1" applyFill="1" applyBorder="1" applyAlignment="1" applyProtection="1">
      <alignment horizontal="right"/>
    </xf>
    <xf numFmtId="44" fontId="3" fillId="0" borderId="0" xfId="1" applyFont="1" applyFill="1" applyBorder="1" applyAlignment="1" applyProtection="1">
      <alignment horizontal="left"/>
    </xf>
    <xf numFmtId="44" fontId="3" fillId="0" borderId="0" xfId="1" applyFont="1" applyFill="1" applyBorder="1" applyAlignment="1" applyProtection="1">
      <alignment horizontal="center"/>
    </xf>
    <xf numFmtId="44" fontId="7" fillId="0" borderId="0" xfId="1" applyFont="1" applyFill="1" applyBorder="1" applyAlignment="1" applyProtection="1">
      <alignment vertical="top"/>
    </xf>
    <xf numFmtId="0" fontId="13" fillId="3" borderId="12" xfId="0" applyFont="1" applyFill="1" applyBorder="1" applyAlignment="1">
      <alignment horizontal="center" vertical="top" wrapText="1"/>
    </xf>
    <xf numFmtId="0" fontId="13" fillId="3" borderId="13" xfId="0" applyFont="1" applyFill="1" applyBorder="1" applyAlignment="1">
      <alignment horizontal="center" vertical="top" wrapText="1"/>
    </xf>
    <xf numFmtId="0" fontId="13" fillId="3" borderId="14" xfId="0" applyFont="1" applyFill="1" applyBorder="1" applyAlignment="1">
      <alignment horizontal="center" vertical="top" wrapText="1"/>
    </xf>
    <xf numFmtId="0" fontId="13" fillId="3" borderId="3" xfId="0" applyFont="1" applyFill="1" applyBorder="1" applyAlignment="1">
      <alignment horizontal="center" vertical="top" wrapText="1"/>
    </xf>
    <xf numFmtId="0" fontId="13" fillId="3" borderId="4" xfId="0" applyFont="1" applyFill="1" applyBorder="1" applyAlignment="1">
      <alignment horizontal="center" vertical="top" wrapText="1"/>
    </xf>
    <xf numFmtId="0" fontId="13" fillId="3" borderId="5" xfId="0" applyFont="1" applyFill="1" applyBorder="1" applyAlignment="1">
      <alignment horizontal="center" vertical="top" wrapText="1"/>
    </xf>
    <xf numFmtId="0" fontId="13" fillId="3" borderId="8" xfId="0" applyFont="1" applyFill="1" applyBorder="1" applyAlignment="1">
      <alignment horizontal="center" vertical="top" wrapText="1"/>
    </xf>
    <xf numFmtId="0" fontId="13" fillId="3" borderId="9" xfId="0" applyFont="1" applyFill="1" applyBorder="1" applyAlignment="1">
      <alignment horizontal="center" vertical="top" wrapText="1"/>
    </xf>
    <xf numFmtId="0" fontId="13" fillId="3" borderId="10" xfId="0" applyFont="1" applyFill="1" applyBorder="1" applyAlignment="1">
      <alignment horizontal="center" vertical="top" wrapText="1"/>
    </xf>
    <xf numFmtId="0" fontId="4" fillId="2" borderId="3" xfId="0" applyFont="1" applyFill="1" applyBorder="1" applyAlignment="1">
      <alignment horizontal="center" vertical="top"/>
    </xf>
    <xf numFmtId="0" fontId="4" fillId="2" borderId="4" xfId="0" applyFont="1" applyFill="1" applyBorder="1" applyAlignment="1">
      <alignment horizontal="center" vertical="top"/>
    </xf>
    <xf numFmtId="0" fontId="4" fillId="2" borderId="5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horizontal="left" vertical="top"/>
    </xf>
    <xf numFmtId="0" fontId="4" fillId="2" borderId="0" xfId="0" applyFont="1" applyFill="1" applyAlignment="1">
      <alignment horizontal="left" vertical="top"/>
    </xf>
    <xf numFmtId="0" fontId="4" fillId="2" borderId="7" xfId="0" applyFont="1" applyFill="1" applyBorder="1" applyAlignment="1">
      <alignment horizontal="left" vertical="top"/>
    </xf>
    <xf numFmtId="44" fontId="5" fillId="2" borderId="8" xfId="1" applyFont="1" applyFill="1" applyBorder="1" applyAlignment="1" applyProtection="1">
      <alignment horizontal="left" vertical="center"/>
    </xf>
    <xf numFmtId="44" fontId="5" fillId="2" borderId="9" xfId="1" applyFont="1" applyFill="1" applyBorder="1" applyAlignment="1" applyProtection="1">
      <alignment horizontal="left" vertical="center"/>
    </xf>
    <xf numFmtId="44" fontId="5" fillId="2" borderId="10" xfId="1" applyFont="1" applyFill="1" applyBorder="1" applyAlignment="1" applyProtection="1">
      <alignment horizontal="left" vertical="center"/>
    </xf>
    <xf numFmtId="0" fontId="6" fillId="2" borderId="6" xfId="1" applyNumberFormat="1" applyFont="1" applyFill="1" applyBorder="1" applyAlignment="1" applyProtection="1">
      <alignment horizontal="left" vertical="top" wrapText="1"/>
    </xf>
    <xf numFmtId="0" fontId="6" fillId="2" borderId="0" xfId="1" applyNumberFormat="1" applyFont="1" applyFill="1" applyBorder="1" applyAlignment="1" applyProtection="1">
      <alignment horizontal="left" vertical="top" wrapText="1"/>
    </xf>
    <xf numFmtId="44" fontId="3" fillId="0" borderId="0" xfId="1" applyFont="1" applyFill="1" applyBorder="1" applyAlignment="1" applyProtection="1">
      <alignment horizontal="left" vertical="top" wrapText="1"/>
    </xf>
    <xf numFmtId="0" fontId="5" fillId="4" borderId="8" xfId="1" applyNumberFormat="1" applyFont="1" applyFill="1" applyBorder="1" applyAlignment="1">
      <alignment horizontal="right" vertical="center"/>
    </xf>
    <xf numFmtId="0" fontId="5" fillId="4" borderId="9" xfId="1" applyNumberFormat="1" applyFont="1" applyFill="1" applyBorder="1" applyAlignment="1">
      <alignment horizontal="right" vertical="center"/>
    </xf>
    <xf numFmtId="0" fontId="0" fillId="2" borderId="6" xfId="0" applyFill="1" applyBorder="1"/>
    <xf numFmtId="0" fontId="0" fillId="2" borderId="0" xfId="0" applyFill="1"/>
    <xf numFmtId="0" fontId="6" fillId="2" borderId="6" xfId="1" quotePrefix="1" applyNumberFormat="1" applyFont="1" applyFill="1" applyBorder="1" applyAlignment="1" applyProtection="1">
      <alignment horizontal="left"/>
    </xf>
    <xf numFmtId="0" fontId="6" fillId="2" borderId="0" xfId="1" quotePrefix="1" applyNumberFormat="1" applyFont="1" applyFill="1" applyBorder="1" applyAlignment="1" applyProtection="1">
      <alignment horizontal="left"/>
    </xf>
    <xf numFmtId="0" fontId="4" fillId="2" borderId="29" xfId="0" applyFont="1" applyFill="1" applyBorder="1" applyAlignment="1">
      <alignment vertical="top"/>
    </xf>
  </cellXfs>
  <cellStyles count="3">
    <cellStyle name="Currency" xfId="1" builtinId="4"/>
    <cellStyle name="Normal" xfId="0" builtinId="0"/>
    <cellStyle name="Percent" xfId="2" builtinId="5"/>
  </cellStyles>
  <dxfs count="88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 diagonalUp="1" diagonalDown="1">
        <left/>
        <right/>
        <top/>
        <bottom/>
        <diagonal style="thin">
          <color auto="1"/>
        </diagonal>
        <vertical/>
        <horizontal/>
      </border>
    </dxf>
    <dxf>
      <numFmt numFmtId="14" formatCode="0.00%"/>
    </dxf>
    <dxf>
      <numFmt numFmtId="14" formatCode="0.00%"/>
    </dxf>
    <dxf>
      <border diagonalUp="1" diagonalDown="1">
        <left/>
        <right/>
        <top/>
        <bottom/>
        <diagonal style="thin">
          <color auto="1"/>
        </diagonal>
        <vertical/>
        <horizontal/>
      </border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2" formatCode="0.0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2" formatCode="0.0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2" formatCode="0.0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34" formatCode="_(&quot;$&quot;* #,##0.00_);_(&quot;$&quot;* \(#,##0.00\);_(&quot;$&quot;* &quot;-&quot;??_);_(@_)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34" formatCode="_(&quot;$&quot;* #,##0.00_);_(&quot;$&quot;* \(#,##0.00\);_(&quot;$&quot;* &quot;-&quot;??_);_(@_)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34" formatCode="_(&quot;$&quot;* #,##0.00_);_(&quot;$&quot;* \(#,##0.00\);_(&quot;$&quot;* &quot;-&quot;??_);_(@_)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439A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439A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34" formatCode="_(&quot;$&quot;* #,##0.00_);_(&quot;$&quot;* \(#,##0.00\);_(&quot;$&quot;* &quot;-&quot;??_);_(@_)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34" formatCode="_(&quot;$&quot;* #,##0.00_);_(&quot;$&quot;* \(#,##0.00\);_(&quot;$&quot;* &quot;-&quot;??_);_(@_)"/>
      <protection locked="1" hidden="0"/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34" formatCode="_(&quot;$&quot;* #,##0.00_);_(&quot;$&quot;* \(#,##0.00\);_(&quot;$&quot;* &quot;-&quot;??_);_(@_)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34" formatCode="_(&quot;$&quot;* #,##0.00_);_(&quot;$&quot;* \(#,##0.00\);_(&quot;$&quot;* &quot;-&quot;??_);_(@_)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34" formatCode="_(&quot;$&quot;* #,##0.00_);_(&quot;$&quot;* \(#,##0.00\);_(&quot;$&quot;* &quot;-&quot;??_);_(@_)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439A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34" formatCode="_(&quot;$&quot;* #,##0.00_);_(&quot;$&quot;* \(#,##0.00\);_(&quot;$&quot;* &quot;-&quot;??_);_(@_)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34" formatCode="_(&quot;$&quot;* #,##0.00_);_(&quot;$&quot;* \(#,##0.00\);_(&quot;$&quot;* &quot;-&quot;??_);_(@_)"/>
      <protection locked="1" hidden="0"/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0" formatCode="General"/>
      <alignment horizontal="righ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14" formatCode="0.00%"/>
      <alignment horizontal="righ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alignment horizontal="righ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0" formatCode="General"/>
      <alignment horizontal="righ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0" formatCode="General"/>
      <alignment horizontal="right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14" formatCode="0.00%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protection locked="1" hidden="0"/>
    </dxf>
    <dxf>
      <border diagonalUp="0" diagonalDown="0">
        <left style="thick">
          <color rgb="FF00439A"/>
        </left>
        <right style="thick">
          <color rgb="FF00439A"/>
        </right>
        <top style="thick">
          <color rgb="FF00439A"/>
        </top>
        <bottom style="thick">
          <color rgb="FF00439A"/>
        </bottom>
      </border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protection locked="1" hidden="0"/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alignment horizontal="center" vertical="bottom" textRotation="0" wrapText="1" indent="0" justifyLastLine="0" shrinkToFit="0" readingOrder="0"/>
      <protection locked="1" hidden="0"/>
    </dxf>
    <dxf>
      <fill>
        <patternFill>
          <bgColor rgb="FFE5F7F5"/>
        </patternFill>
      </fill>
    </dxf>
    <dxf>
      <fill>
        <patternFill>
          <bgColor rgb="FFFCFFD5"/>
        </patternFill>
      </fill>
    </dxf>
    <dxf>
      <fill>
        <patternFill>
          <bgColor rgb="FFFFF275"/>
        </patternFill>
      </fill>
    </dxf>
    <dxf>
      <fill>
        <patternFill>
          <bgColor rgb="FFFFF489"/>
        </patternFill>
      </fill>
    </dxf>
    <dxf>
      <font>
        <color rgb="FF00439A"/>
      </font>
      <border>
        <left style="thick">
          <color rgb="FF00439A"/>
        </left>
        <right style="thick">
          <color rgb="FF00439A"/>
        </right>
        <top style="thick">
          <color rgb="FF00439A"/>
        </top>
        <bottom style="thick">
          <color rgb="FF00439A"/>
        </bottom>
      </border>
    </dxf>
  </dxfs>
  <tableStyles count="1" defaultTableStyle="TableStyleMedium2" defaultPivotStyle="PivotStyleLight16">
    <tableStyle name="KVK" pivot="0" count="5" xr9:uid="{777A97D9-7CBF-46D7-8D3F-AC9506997F1E}">
      <tableStyleElement type="wholeTable" dxfId="87"/>
      <tableStyleElement type="headerRow" dxfId="86"/>
      <tableStyleElement type="totalRow" dxfId="85"/>
      <tableStyleElement type="firstRowStripe" dxfId="84"/>
      <tableStyleElement type="secondRowStripe" dxfId="83"/>
    </tableStyle>
  </tableStyles>
  <colors>
    <mruColors>
      <color rgb="FFFFF275"/>
      <color rgb="FF00439A"/>
      <color rgb="FFFFF489"/>
      <color rgb="FFFFE600"/>
      <color rgb="FFFCFFD5"/>
      <color rgb="FFE5F7F5"/>
      <color rgb="FFF3FBFA"/>
      <color rgb="FFBCEAE6"/>
      <color rgb="FFF1FD55"/>
      <color rgb="FF63CEC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414946</xdr:colOff>
      <xdr:row>1</xdr:row>
      <xdr:rowOff>216876</xdr:rowOff>
    </xdr:from>
    <xdr:to>
      <xdr:col>19</xdr:col>
      <xdr:colOff>480247</xdr:colOff>
      <xdr:row>5</xdr:row>
      <xdr:rowOff>409524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BD96FFD-B270-77EF-CB43-E077B5686F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6746" y="416901"/>
          <a:ext cx="2294151" cy="138327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581105</xdr:colOff>
      <xdr:row>1</xdr:row>
      <xdr:rowOff>66261</xdr:rowOff>
    </xdr:from>
    <xdr:to>
      <xdr:col>9</xdr:col>
      <xdr:colOff>1201804</xdr:colOff>
      <xdr:row>6</xdr:row>
      <xdr:rowOff>157371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13F0699-8891-456C-AA07-96B833F07B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33517" y="267967"/>
          <a:ext cx="2144699" cy="133496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293867F-5B8D-47E5-858E-50F6225E4BB8}" name="tblPersoneel" displayName="tblPersoneel" ref="A18:AC82" totalsRowCount="1" headerRowDxfId="82" dataDxfId="81" totalsRowDxfId="79" tableBorderDxfId="80">
  <autoFilter ref="A18:AC81" xr:uid="{5293867F-5B8D-47E5-858E-50F6225E4BB8}"/>
  <tableColumns count="29">
    <tableColumn id="1" xr3:uid="{2680C875-375B-4A7C-BB85-9CC31CB834B2}" name="Naam" totalsRowLabel="Total" dataDxfId="78" totalsRowDxfId="28"/>
    <tableColumn id="9" xr3:uid="{775E30A0-22C8-4B4E-8138-39464FDF93B3}" name="Functienaam" dataDxfId="77" totalsRowDxfId="27"/>
    <tableColumn id="10" xr3:uid="{7504A49F-C1FF-48F5-8A81-E1A47DF9A0B7}" name="Uitbetalings periode" dataDxfId="76" totalsRowDxfId="26"/>
    <tableColumn id="11" xr3:uid="{A76DBE85-4D9F-465D-A319-EC8A4911AF36}" name="Deeltijd" dataDxfId="75" totalsRowDxfId="25"/>
    <tableColumn id="15" xr3:uid="{58F145C8-EF34-47B1-A852-665908AA1E39}" name="Leeftijd" dataDxfId="74" totalsRowDxfId="24" dataCellStyle="Percent"/>
    <tableColumn id="13" xr3:uid="{2F6B5F62-DFC9-4452-B611-1E5327EA95AE}" name="13de maand 2023" dataDxfId="73" totalsRowDxfId="23" dataCellStyle="Percent"/>
    <tableColumn id="27" xr3:uid="{CCF777BA-597F-4DC2-9CEE-CBDAC3704E0E}" name="Gratificatie 2023" dataDxfId="72" totalsRowDxfId="22" dataCellStyle="Currency"/>
    <tableColumn id="3" xr3:uid="{9B380214-B291-4E5B-A3D4-C92DB12B5176}" name="vakantie 2023" dataDxfId="71" totalsRowDxfId="21" dataCellStyle="Percent"/>
    <tableColumn id="18" xr3:uid="{E6F59EA5-EA72-42AD-A30F-698568E3D10F}" name="uren per week" dataDxfId="70" totalsRowDxfId="20" dataCellStyle="Currency"/>
    <tableColumn id="2" xr3:uid="{CF405B24-0E33-4B7F-94BA-AA54962861B6}" name="Betaald Loon Nov 2023" dataDxfId="69" totalsRowDxfId="19" dataCellStyle="Currency"/>
    <tableColumn id="12" xr3:uid="{F05A1412-1FEB-44D8-BAB1-57530E7FEB85}" name="Ber  uurloon 11-23 ( $7.13)" dataDxfId="68" totalsRowDxfId="18" dataCellStyle="Currency">
      <calculatedColumnFormula>IFERROR((tblPersoneel[[#This Row],[Betaald Loon Nov 2023]]/tblPersoneel[[#This Row],[uitbetalings deel]])/ tblPersoneel[[#This Row],[uren per week]],"")</calculatedColumnFormula>
    </tableColumn>
    <tableColumn id="19" xr3:uid="{2AB55A46-636F-4069-9B23-657544C34BCF}" name="Loon per jaar 2023" totalsRowFunction="sum" dataDxfId="67" totalsRowDxfId="17" dataCellStyle="Currency">
      <calculatedColumnFormula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calculatedColumnFormula>
    </tableColumn>
    <tableColumn id="30" xr3:uid="{9425EBC3-DCAD-492B-8FE8-1162ECD01687}" name="13de maand 2026" dataDxfId="66" totalsRowDxfId="16" dataCellStyle="Currency"/>
    <tableColumn id="28" xr3:uid="{6F939406-D4BD-45DC-9D9F-8FDD88F1D851}" name="Gratificatie 2026" dataDxfId="65" totalsRowDxfId="15" dataCellStyle="Currency"/>
    <tableColumn id="29" xr3:uid="{94FF237D-9F40-465A-9FA5-C0E4DA32DFE7}" name="Vakantie 2026" dataDxfId="64" totalsRowDxfId="14" dataCellStyle="Currency"/>
    <tableColumn id="21" xr3:uid="{F249E91D-0B62-47F6-969A-BED4FAA90394}" name="Betaald Loon 01 2026" dataDxfId="63" totalsRowDxfId="13" dataCellStyle="Currency">
      <calculatedColumnFormula>IF(tblPersoneel[[#This Row],[Functienaam]]="",,IF(tblPersoneel[[#This Row],[Betaald Loon Nov 2023]]&gt;$D$9,tblPersoneel[[#This Row],[Betaald Loon Nov 2023]],$D$9))</calculatedColumnFormula>
    </tableColumn>
    <tableColumn id="22" xr3:uid="{D6365DDD-1DE0-4215-84D2-DBA82C2A297A}" name="Ber Uurloon 01-26" dataDxfId="62" totalsRowDxfId="12" dataCellStyle="Currency">
      <calculatedColumnFormula>IFERROR((tblPersoneel[[#This Row],[Betaald Loon 01 2026]]/tblPersoneel[[#This Row],[uitbetalings deel]])/ tblPersoneel[[#This Row],[uren per week]],"")</calculatedColumnFormula>
    </tableColumn>
    <tableColumn id="4" xr3:uid="{36D60A6A-661E-4A33-811E-AA738398B61C}" name="leeg" dataDxfId="61" totalsRowDxfId="11" dataCellStyle="Currency"/>
    <tableColumn id="26" xr3:uid="{1BF99180-7D33-4980-B3A7-34879A43907F}" name="leeg8" dataDxfId="60" totalsRowDxfId="10" dataCellStyle="Currency"/>
    <tableColumn id="25" xr3:uid="{0622EE30-57E9-47EE-82EA-D1FEBC2D221C}" name="Loon per jaar 2026" totalsRowFunction="sum" dataDxfId="59" totalsRowDxfId="9" dataCellStyle="Currency">
      <calculatedColumnFormula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calculatedColumnFormula>
    </tableColumn>
    <tableColumn id="35" xr3:uid="{CD644713-7AE1-4CB9-88F6-B8BE26E7E7DA}" name="leeg7" dataDxfId="58" totalsRowDxfId="8" dataCellStyle="Currency"/>
    <tableColumn id="36" xr3:uid="{8358D0A3-A58E-428E-87D5-074C7C834902}" name="leeg2" dataDxfId="57" totalsRowDxfId="7" dataCellStyle="Currency"/>
    <tableColumn id="37" xr3:uid="{65909679-F389-4641-B5E5-8A56966B63B3}" name="leeg3" dataDxfId="56" totalsRowDxfId="6" dataCellStyle="Percent"/>
    <tableColumn id="8" xr3:uid="{8863BCAB-AE41-498E-A52F-C7B67A779F55}" name="leeg4" dataDxfId="55" totalsRowDxfId="5" dataCellStyle="Currency"/>
    <tableColumn id="14" xr3:uid="{0982D2E8-DA9D-42DD-8982-68ED250D6396}" name="leeg5" dataDxfId="54" totalsRowDxfId="4" dataCellStyle="Currency"/>
    <tableColumn id="23" xr3:uid="{9715803F-D410-44BF-B365-B73D47D2796C}" name="leeg6" dataDxfId="53" totalsRowDxfId="3" dataCellStyle="Currency"/>
    <tableColumn id="17" xr3:uid="{57114668-5A44-4FAD-A4D4-2AAB808D8425}" name="leeftijd percentage" dataDxfId="52" totalsRowDxfId="2" dataCellStyle="Currency">
      <calculatedColumnFormula>_xlfn.XLOOKUP(tblPersoneel[[#This Row],[Leeftijd]],tblLeeftijdPercentage[leeftijd],tblLeeftijdPercentage[percentage],0,0)</calculatedColumnFormula>
    </tableColumn>
    <tableColumn id="16" xr3:uid="{E5E6F4A8-CD58-4EB2-B2DF-B102537A7BA1}" name="uitbetalings deel" dataDxfId="51" totalsRowDxfId="1" dataCellStyle="Currency">
      <calculatedColumnFormula>VLOOKUP(tblPersoneel[[#This Row],[Uitbetalings periode]],UitbetaalPeriode[],2,FALSE)</calculatedColumnFormula>
    </tableColumn>
    <tableColumn id="20" xr3:uid="{1E6DF3FC-9623-4F59-B47E-9831F0BBA38F}" name="aantal uitbetalingen" totalsRowFunction="count" dataDxfId="50" totalsRowDxfId="0" dataCellStyle="Currency">
      <calculatedColumnFormula>VLOOKUP(tblPersoneel[[#This Row],[Uitbetalings periode]],UitbetaalPeriode[],3,FALSE)</calculatedColumnFormula>
    </tableColumn>
  </tableColumns>
  <tableStyleInfo name="KVK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B0AE6FD-CF5A-46E2-98EE-FB86103E7CF7}" name="tblLeeftijdPercentage" displayName="tblLeeftijdPercentage" ref="A10:F16" totalsRowShown="0" headerRowDxfId="49" dataDxfId="48">
  <autoFilter ref="A10:F16" xr:uid="{CB0AE6FD-CF5A-46E2-98EE-FB86103E7CF7}"/>
  <sortState xmlns:xlrd2="http://schemas.microsoft.com/office/spreadsheetml/2017/richdata2" ref="A11:B16">
    <sortCondition descending="1" ref="A10:A16"/>
  </sortState>
  <tableColumns count="6">
    <tableColumn id="1" xr3:uid="{84993DAC-053E-4389-9CDF-FC0D3179451D}" name="leeftijd" dataDxfId="47"/>
    <tableColumn id="2" xr3:uid="{E6A807E4-CE10-4717-803F-9C07D8D77368}" name="percentage" dataDxfId="46" dataCellStyle="Percent"/>
    <tableColumn id="5" xr3:uid="{35A9624A-08F8-41A6-990F-7EFA749852D2}" name="2023" dataDxfId="45" dataCellStyle="Percent"/>
    <tableColumn id="3" xr3:uid="{B02A9CB0-4291-4F72-A58C-871062385797}" name="Jan-26" dataDxfId="44">
      <calculatedColumnFormula>$C$11*tblLeeftijdPercentage[[#This Row],[2023]]</calculatedColumnFormula>
    </tableColumn>
    <tableColumn id="4" xr3:uid="{48EE9BCA-658D-474D-88DC-E9EF382EFA02}" name="leeg" dataDxfId="43"/>
    <tableColumn id="6" xr3:uid="{7C4B6906-025A-44F7-AC36-54A5090702DC}" name="leeg2" dataDxfId="42"/>
  </tableColumns>
  <tableStyleInfo name="KVK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8CDDF33-B333-4256-B227-423F33A4A89A}" name="UitbetaalPeriode" displayName="UitbetaalPeriode" ref="XES2:XEU6" totalsRowShown="0" headerRowDxfId="41" dataDxfId="40">
  <autoFilter ref="XES2:XEU6" xr:uid="{08CDDF33-B333-4256-B227-423F33A4A89A}"/>
  <sortState xmlns:xlrd2="http://schemas.microsoft.com/office/spreadsheetml/2017/richdata2" ref="XES3:XEU6">
    <sortCondition ref="XES2:XES6"/>
  </sortState>
  <tableColumns count="3">
    <tableColumn id="1" xr3:uid="{5699AF94-2F54-4CCA-9EE6-F87B4F34EBE3}" name="uitbper" dataDxfId="39"/>
    <tableColumn id="2" xr3:uid="{4AD5415B-B214-4BBB-BDC4-239488DDE0D6}" name="deelfactor" dataDxfId="38"/>
    <tableColumn id="3" xr3:uid="{72630BE8-4346-438A-82D0-5BC3F741147C}" name="aantal uitb" dataDxfId="37"/>
  </tableColumns>
  <tableStyleInfo name="TableStyleMedium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260F3112-0A98-4AB6-B4DA-7366D792F6A9}" name="Table6" displayName="Table6" ref="XEX2:XEX25" totalsRowShown="0">
  <autoFilter ref="XEX2:XEX25" xr:uid="{260F3112-0A98-4AB6-B4DA-7366D792F6A9}"/>
  <sortState xmlns:xlrd2="http://schemas.microsoft.com/office/spreadsheetml/2017/richdata2" ref="XEX3:XEX25">
    <sortCondition ref="XEX2:XEX11"/>
  </sortState>
  <tableColumns count="1">
    <tableColumn id="1" xr3:uid="{EBBB370A-1812-429A-B802-18084547620D}" name="FunctieNaam"/>
  </tableColumns>
  <tableStyleInfo name="TableStyleMedium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B64095F-3E07-4C1A-98D9-23BC54DAFBCA}" name="Table1" displayName="Table1" ref="B5:D6" totalsRowShown="0">
  <autoFilter ref="B5:D6" xr:uid="{FB64095F-3E07-4C1A-98D9-23BC54DAFBCA}"/>
  <tableColumns count="3">
    <tableColumn id="1" xr3:uid="{3DA131CD-F6B9-46DF-8CD2-D0CE798474EA}" name="WGP" dataDxfId="36"/>
    <tableColumn id="2" xr3:uid="{05A464FC-CB65-4045-A06F-BDCDDC0A2FD0}" name="2023" dataDxfId="35"/>
    <tableColumn id="3" xr3:uid="{2E6CD9BC-B48B-41C6-A09D-E4A829E099D1}" name="2024" dataDxfId="34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4525B29-380F-49D2-8DF9-EA73B99EA424}" name="Table2" displayName="Table2" ref="B10:D11" totalsRowShown="0">
  <autoFilter ref="B10:D11" xr:uid="{C4525B29-380F-49D2-8DF9-EA73B99EA424}"/>
  <tableColumns count="3">
    <tableColumn id="1" xr3:uid="{008E9386-9A9D-455D-9F4E-70D4347D5C1B}" name="minimumloon" dataDxfId="33"/>
    <tableColumn id="2" xr3:uid="{8D2604C4-05A8-4272-98AD-8B60B8B8DD62}" name="2023" dataCellStyle="Currency"/>
    <tableColumn id="3" xr3:uid="{C24E135A-4EF4-415B-A105-948F24ADC6AD}" name="1 juli 2024" dataCellStyle="Currenc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79E37D-8B74-49B4-A5D7-6B5002DFE478}">
  <sheetPr>
    <pageSetUpPr fitToPage="1"/>
  </sheetPr>
  <dimension ref="A1:XFB104"/>
  <sheetViews>
    <sheetView tabSelected="1" topLeftCell="A8" zoomScaleNormal="100" workbookViewId="0">
      <selection activeCell="M19" sqref="M19"/>
    </sheetView>
  </sheetViews>
  <sheetFormatPr defaultColWidth="8.7109375" defaultRowHeight="15" x14ac:dyDescent="0.25"/>
  <cols>
    <col min="1" max="1" width="11.140625" customWidth="1"/>
    <col min="2" max="2" width="14.140625" bestFit="1" customWidth="1"/>
    <col min="3" max="5" width="11.140625" customWidth="1"/>
    <col min="6" max="6" width="11" bestFit="1" customWidth="1"/>
    <col min="7" max="17" width="11.140625" customWidth="1"/>
    <col min="18" max="19" width="11.140625" hidden="1" customWidth="1"/>
    <col min="20" max="20" width="11.140625" customWidth="1"/>
    <col min="21" max="23" width="11.140625" hidden="1" customWidth="1"/>
    <col min="24" max="24" width="15.42578125" hidden="1" customWidth="1"/>
    <col min="25" max="25" width="13.140625" hidden="1" customWidth="1"/>
    <col min="26" max="26" width="15.7109375" hidden="1" customWidth="1"/>
    <col min="27" max="27" width="13.28515625" bestFit="1" customWidth="1"/>
    <col min="28" max="29" width="12.42578125" bestFit="1" customWidth="1"/>
    <col min="16367" max="16367" width="10.140625" bestFit="1" customWidth="1"/>
    <col min="16370" max="16370" width="11.42578125" customWidth="1"/>
    <col min="16371" max="16371" width="12.28515625" customWidth="1"/>
    <col min="16373" max="16373" width="11" bestFit="1" customWidth="1"/>
    <col min="16374" max="16374" width="11.42578125" customWidth="1"/>
    <col min="16378" max="16378" width="19.42578125" bestFit="1" customWidth="1"/>
  </cols>
  <sheetData>
    <row r="1" spans="1:23 16367:16378" ht="15.75" thickBot="1" x14ac:dyDescent="0.3">
      <c r="XEM1" s="9"/>
      <c r="XEN1" s="9"/>
      <c r="XEO1" s="9" t="s">
        <v>23</v>
      </c>
      <c r="XEP1" s="10">
        <v>0.13400000000000001</v>
      </c>
      <c r="XEQ1" s="9"/>
      <c r="XER1" s="9"/>
      <c r="XES1" s="9"/>
      <c r="XET1" s="9"/>
      <c r="XEU1" s="9"/>
      <c r="XEV1" s="9"/>
    </row>
    <row r="2" spans="1:23 16367:16378" ht="26.25" x14ac:dyDescent="0.25">
      <c r="A2" s="136"/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8"/>
      <c r="U2" s="64"/>
      <c r="V2" s="64"/>
      <c r="W2" s="64"/>
      <c r="XEM2" s="9"/>
      <c r="XEN2" s="9"/>
      <c r="XEO2" s="9" t="s">
        <v>24</v>
      </c>
      <c r="XEP2" s="10">
        <v>0.11899999999999999</v>
      </c>
      <c r="XER2" s="9"/>
      <c r="XES2" s="9" t="s">
        <v>20</v>
      </c>
      <c r="XET2" s="9" t="s">
        <v>21</v>
      </c>
      <c r="XEU2" s="9" t="s">
        <v>28</v>
      </c>
      <c r="XEV2" s="9"/>
      <c r="XEX2" t="s">
        <v>63</v>
      </c>
    </row>
    <row r="3" spans="1:23 16367:16378" ht="26.25" x14ac:dyDescent="0.25">
      <c r="A3" s="139" t="s">
        <v>8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1"/>
      <c r="U3" s="62"/>
      <c r="V3" s="62"/>
      <c r="W3" s="62"/>
      <c r="XEO3" s="9" t="s">
        <v>89</v>
      </c>
      <c r="XEP3" s="67">
        <v>0.10299999999999999</v>
      </c>
      <c r="XER3" s="9"/>
      <c r="XES3" s="9" t="s">
        <v>17</v>
      </c>
      <c r="XET3" s="9">
        <v>4.3333333300000003</v>
      </c>
      <c r="XEU3" s="9">
        <v>12</v>
      </c>
      <c r="XEV3" s="9"/>
      <c r="XEX3" s="37" t="s">
        <v>80</v>
      </c>
    </row>
    <row r="4" spans="1:23 16367:16378" ht="26.25" x14ac:dyDescent="0.25">
      <c r="A4" s="21"/>
      <c r="B4" s="22"/>
      <c r="C4" s="22"/>
      <c r="D4" s="22"/>
      <c r="E4" s="22"/>
      <c r="F4" s="22"/>
      <c r="G4" s="22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154"/>
      <c r="U4" s="33"/>
      <c r="V4" s="33"/>
      <c r="W4" s="33"/>
      <c r="XEO4" s="9" t="s">
        <v>91</v>
      </c>
      <c r="XEP4" s="67">
        <v>0.10299999999999999</v>
      </c>
      <c r="XER4" s="9"/>
      <c r="XES4" s="9" t="s">
        <v>11</v>
      </c>
      <c r="XET4" s="9">
        <f>+XET5/2</f>
        <v>0.5</v>
      </c>
      <c r="XEU4" s="9">
        <v>24</v>
      </c>
      <c r="XEV4" s="9"/>
      <c r="XEX4" s="37" t="s">
        <v>86</v>
      </c>
    </row>
    <row r="5" spans="1:23 16367:16378" ht="15.6" customHeight="1" x14ac:dyDescent="0.25">
      <c r="A5" s="23" t="s">
        <v>6</v>
      </c>
      <c r="B5" s="6"/>
      <c r="C5" s="6"/>
      <c r="D5" s="6"/>
      <c r="E5" s="6"/>
      <c r="F5" s="6"/>
      <c r="G5" s="22"/>
      <c r="H5" s="22"/>
      <c r="I5" s="22"/>
      <c r="J5" s="22"/>
      <c r="K5" s="22"/>
      <c r="L5" s="35"/>
      <c r="M5" s="36"/>
      <c r="N5" s="22"/>
      <c r="O5" s="22"/>
      <c r="P5" s="22"/>
      <c r="Q5" s="22"/>
      <c r="R5" s="22"/>
      <c r="S5" s="22"/>
      <c r="T5" s="34"/>
      <c r="U5" s="22"/>
      <c r="V5" s="22"/>
      <c r="W5" s="22"/>
      <c r="XEO5" s="9" t="s">
        <v>25</v>
      </c>
      <c r="XEP5" s="9">
        <v>8.3330000000000001E-2</v>
      </c>
      <c r="XER5" s="9"/>
      <c r="XES5" s="9" t="s">
        <v>22</v>
      </c>
      <c r="XET5" s="9">
        <v>1</v>
      </c>
      <c r="XEU5" s="9" t="s">
        <v>29</v>
      </c>
      <c r="XEV5" s="9"/>
      <c r="XEX5" t="s">
        <v>79</v>
      </c>
    </row>
    <row r="6" spans="1:23 16367:16378" ht="45" customHeight="1" x14ac:dyDescent="0.25">
      <c r="A6" s="145" t="s">
        <v>7</v>
      </c>
      <c r="B6" s="146"/>
      <c r="C6" s="146"/>
      <c r="D6" s="146"/>
      <c r="E6" s="146"/>
      <c r="F6" s="146"/>
      <c r="G6" s="22"/>
      <c r="H6" s="22"/>
      <c r="I6" s="22"/>
      <c r="J6" s="22"/>
      <c r="K6" s="22"/>
      <c r="L6" s="36"/>
      <c r="M6" s="36"/>
      <c r="N6" s="22"/>
      <c r="O6" s="22"/>
      <c r="P6" s="22"/>
      <c r="Q6" s="22"/>
      <c r="R6" s="22"/>
      <c r="S6" s="22"/>
      <c r="T6" s="34"/>
      <c r="U6" s="22"/>
      <c r="V6" s="22"/>
      <c r="W6" s="22"/>
      <c r="XEM6" s="9"/>
      <c r="XEN6" s="9"/>
      <c r="XEO6" s="9" t="s">
        <v>54</v>
      </c>
      <c r="XEP6" s="2">
        <v>7.13</v>
      </c>
      <c r="XER6" s="9"/>
      <c r="XES6" s="9"/>
      <c r="XET6" s="9">
        <v>8</v>
      </c>
      <c r="XEU6" s="9">
        <v>365</v>
      </c>
      <c r="XEV6" s="9"/>
      <c r="XEX6" t="s">
        <v>64</v>
      </c>
    </row>
    <row r="7" spans="1:23 16367:16378" ht="20.25" customHeight="1" thickBot="1" x14ac:dyDescent="0.3">
      <c r="A7" s="142"/>
      <c r="B7" s="143"/>
      <c r="C7" s="143"/>
      <c r="D7" s="143"/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4"/>
      <c r="U7" s="65"/>
      <c r="V7" s="65"/>
      <c r="W7" s="65"/>
      <c r="XEM7" s="9"/>
      <c r="XEN7" s="9"/>
      <c r="XEO7" s="9" t="s">
        <v>55</v>
      </c>
      <c r="XEP7" s="2">
        <v>9.06</v>
      </c>
      <c r="XER7" s="9"/>
      <c r="XES7" s="9"/>
      <c r="XET7" s="9"/>
      <c r="XEU7" s="9"/>
      <c r="XEV7" s="9"/>
      <c r="XEX7" t="s">
        <v>75</v>
      </c>
    </row>
    <row r="8" spans="1:23 16367:16378" ht="15.75" thickBot="1" x14ac:dyDescent="0.3">
      <c r="XEM8" s="9"/>
      <c r="XEN8" s="9"/>
      <c r="XEO8" s="9" t="s">
        <v>56</v>
      </c>
      <c r="XEP8" s="2">
        <v>10.1</v>
      </c>
      <c r="XER8" s="9"/>
      <c r="XES8" s="9"/>
      <c r="XET8" s="9"/>
      <c r="XEU8" s="9"/>
      <c r="XEV8" s="9"/>
      <c r="XEX8" t="s">
        <v>74</v>
      </c>
    </row>
    <row r="9" spans="1:23 16367:16378" ht="15.75" thickBot="1" x14ac:dyDescent="0.3">
      <c r="A9" s="38" t="s">
        <v>45</v>
      </c>
      <c r="B9" s="39"/>
      <c r="C9" s="40">
        <f>173.33*C11</f>
        <v>1235.8429000000001</v>
      </c>
      <c r="D9" s="40">
        <f>173.33*D11</f>
        <v>1852.8977</v>
      </c>
      <c r="E9" s="40"/>
      <c r="F9" s="41"/>
      <c r="XEM9" s="9"/>
      <c r="XEN9" s="9"/>
      <c r="XEO9" s="9" t="s">
        <v>88</v>
      </c>
      <c r="XEP9" s="2">
        <v>10.35</v>
      </c>
      <c r="XER9" s="9"/>
      <c r="XES9" s="9"/>
      <c r="XET9" s="9"/>
      <c r="XEU9" s="9"/>
      <c r="XEV9" s="9"/>
      <c r="XEX9" t="s">
        <v>70</v>
      </c>
    </row>
    <row r="10" spans="1:23 16367:16378" ht="15.75" customHeight="1" thickBot="1" x14ac:dyDescent="0.3">
      <c r="A10" s="9" t="s">
        <v>13</v>
      </c>
      <c r="B10" s="9" t="s">
        <v>14</v>
      </c>
      <c r="C10" s="9" t="s">
        <v>1</v>
      </c>
      <c r="D10" s="18" t="s">
        <v>96</v>
      </c>
      <c r="E10" s="18" t="s">
        <v>102</v>
      </c>
      <c r="F10" s="63" t="s">
        <v>103</v>
      </c>
      <c r="H10" s="127" t="s">
        <v>59</v>
      </c>
      <c r="I10" s="128"/>
      <c r="J10" s="128"/>
      <c r="K10" s="128"/>
      <c r="L10" s="128"/>
      <c r="M10" s="128"/>
      <c r="N10" s="128"/>
      <c r="O10" s="128"/>
      <c r="P10" s="129"/>
      <c r="XEM10" s="9"/>
      <c r="XEN10" s="9"/>
      <c r="XEO10" s="9" t="s">
        <v>90</v>
      </c>
      <c r="XEP10" s="2">
        <v>10.69</v>
      </c>
      <c r="XER10" s="9"/>
      <c r="XES10" s="9"/>
      <c r="XET10" s="9"/>
      <c r="XEU10" s="9"/>
      <c r="XEV10" s="9"/>
      <c r="XEX10" t="s">
        <v>73</v>
      </c>
    </row>
    <row r="11" spans="1:23 16367:16378" ht="15" customHeight="1" x14ac:dyDescent="0.25">
      <c r="A11" s="9" t="s">
        <v>15</v>
      </c>
      <c r="B11" s="11">
        <v>1</v>
      </c>
      <c r="C11" s="19">
        <f>minimum2023</f>
        <v>7.13</v>
      </c>
      <c r="D11" s="15">
        <f>minimum202601</f>
        <v>10.69</v>
      </c>
      <c r="E11" s="15"/>
      <c r="F11" s="15"/>
      <c r="H11" s="130" t="s">
        <v>61</v>
      </c>
      <c r="I11" s="131"/>
      <c r="J11" s="131"/>
      <c r="K11" s="131"/>
      <c r="L11" s="131"/>
      <c r="M11" s="131"/>
      <c r="N11" s="131"/>
      <c r="O11" s="131"/>
      <c r="P11" s="132"/>
      <c r="XEM11" s="9"/>
      <c r="XEN11" s="9"/>
      <c r="XEO11" s="9"/>
      <c r="XER11" s="9"/>
      <c r="XES11" s="9"/>
      <c r="XET11" s="9"/>
      <c r="XEU11" s="9"/>
      <c r="XEV11" s="9"/>
      <c r="XEX11" s="37" t="s">
        <v>82</v>
      </c>
    </row>
    <row r="12" spans="1:23 16367:16378" ht="15.75" thickBot="1" x14ac:dyDescent="0.3">
      <c r="A12" s="9">
        <v>20</v>
      </c>
      <c r="B12" s="11">
        <v>0.9</v>
      </c>
      <c r="C12" s="19">
        <f>C$11*tblLeeftijdPercentage[[#This Row],[percentage]]</f>
        <v>6.4169999999999998</v>
      </c>
      <c r="D12" s="19">
        <f>D$11*tblLeeftijdPercentage[[#This Row],[percentage]]</f>
        <v>9.6210000000000004</v>
      </c>
      <c r="E12" s="19"/>
      <c r="F12" s="19"/>
      <c r="H12" s="133"/>
      <c r="I12" s="134"/>
      <c r="J12" s="134"/>
      <c r="K12" s="134"/>
      <c r="L12" s="134"/>
      <c r="M12" s="134"/>
      <c r="N12" s="134"/>
      <c r="O12" s="134"/>
      <c r="P12" s="135"/>
      <c r="XEM12" s="9"/>
      <c r="XEN12" s="9"/>
      <c r="XEO12" s="9"/>
      <c r="XER12" s="9"/>
      <c r="XES12" s="9"/>
      <c r="XET12" s="9"/>
      <c r="XEU12" s="9"/>
      <c r="XEV12" s="9"/>
      <c r="XEX12" s="37" t="s">
        <v>81</v>
      </c>
    </row>
    <row r="13" spans="1:23 16367:16378" ht="15" customHeight="1" x14ac:dyDescent="0.25">
      <c r="A13" s="9">
        <v>19</v>
      </c>
      <c r="B13" s="11">
        <v>0.85</v>
      </c>
      <c r="C13" s="19">
        <f>C$11*tblLeeftijdPercentage[[#This Row],[percentage]]</f>
        <v>6.0604999999999993</v>
      </c>
      <c r="D13" s="19">
        <f>D$11*tblLeeftijdPercentage[[#This Row],[percentage]]</f>
        <v>9.0864999999999991</v>
      </c>
      <c r="E13" s="19"/>
      <c r="F13" s="15"/>
      <c r="H13" s="130" t="s">
        <v>60</v>
      </c>
      <c r="I13" s="131"/>
      <c r="J13" s="131"/>
      <c r="K13" s="131"/>
      <c r="L13" s="131"/>
      <c r="M13" s="131"/>
      <c r="N13" s="131"/>
      <c r="O13" s="131"/>
      <c r="P13" s="132"/>
      <c r="XEM13" s="9"/>
      <c r="XEN13" s="9"/>
      <c r="XEO13" s="9"/>
      <c r="XER13" s="9"/>
      <c r="XES13" s="9"/>
      <c r="XET13" s="9"/>
      <c r="XEU13" s="9"/>
      <c r="XEV13" s="9"/>
      <c r="XEX13" s="37" t="s">
        <v>83</v>
      </c>
    </row>
    <row r="14" spans="1:23 16367:16378" ht="15.75" thickBot="1" x14ac:dyDescent="0.3">
      <c r="A14" s="9">
        <v>18</v>
      </c>
      <c r="B14" s="11">
        <v>0.75</v>
      </c>
      <c r="C14" s="19">
        <f>C$11*tblLeeftijdPercentage[[#This Row],[percentage]]</f>
        <v>5.3475000000000001</v>
      </c>
      <c r="D14" s="19">
        <f>D$11*tblLeeftijdPercentage[[#This Row],[percentage]]</f>
        <v>8.0175000000000001</v>
      </c>
      <c r="E14" s="19"/>
      <c r="F14" s="15"/>
      <c r="H14" s="133"/>
      <c r="I14" s="134"/>
      <c r="J14" s="134"/>
      <c r="K14" s="134"/>
      <c r="L14" s="134"/>
      <c r="M14" s="134"/>
      <c r="N14" s="134"/>
      <c r="O14" s="134"/>
      <c r="P14" s="135"/>
      <c r="XEM14" s="9"/>
      <c r="XEN14" s="9"/>
      <c r="XEO14" s="9"/>
      <c r="XER14" s="9"/>
      <c r="XES14" s="9"/>
      <c r="XET14" s="9"/>
      <c r="XEU14" s="9"/>
      <c r="XEV14" s="9"/>
      <c r="XEX14" t="s">
        <v>77</v>
      </c>
    </row>
    <row r="15" spans="1:23 16367:16378" x14ac:dyDescent="0.25">
      <c r="A15" s="9">
        <v>17</v>
      </c>
      <c r="B15" s="11">
        <v>0.65</v>
      </c>
      <c r="C15" s="19">
        <f>C$11*tblLeeftijdPercentage[[#This Row],[percentage]]</f>
        <v>4.6345000000000001</v>
      </c>
      <c r="D15" s="19">
        <f>D$11*tblLeeftijdPercentage[[#This Row],[percentage]]</f>
        <v>6.9485000000000001</v>
      </c>
      <c r="E15" s="19"/>
      <c r="F15" s="15"/>
      <c r="XEM15" s="9"/>
      <c r="XEN15" s="9"/>
      <c r="XEO15" s="9"/>
      <c r="XER15" s="9"/>
      <c r="XES15" s="9"/>
      <c r="XET15" s="9"/>
      <c r="XEU15" s="9"/>
      <c r="XEV15" s="9"/>
      <c r="XEX15" t="s">
        <v>78</v>
      </c>
    </row>
    <row r="16" spans="1:23 16367:16378" x14ac:dyDescent="0.25">
      <c r="A16" s="9">
        <v>16</v>
      </c>
      <c r="B16" s="11">
        <v>0.65</v>
      </c>
      <c r="C16" s="19">
        <f>C$11*tblLeeftijdPercentage[[#This Row],[percentage]]</f>
        <v>4.6345000000000001</v>
      </c>
      <c r="D16" s="19">
        <f>D$11*tblLeeftijdPercentage[[#This Row],[percentage]]</f>
        <v>6.9485000000000001</v>
      </c>
      <c r="E16" s="19"/>
      <c r="F16" s="15"/>
      <c r="XEM16" s="9"/>
      <c r="XEN16" s="9"/>
      <c r="XEO16" s="9"/>
      <c r="XER16" s="9"/>
      <c r="XES16" s="9"/>
      <c r="XET16" s="9"/>
      <c r="XEU16" s="9"/>
      <c r="XEV16" s="9"/>
      <c r="XEX16" t="s">
        <v>76</v>
      </c>
    </row>
    <row r="17" spans="1:29 16367:16382" x14ac:dyDescent="0.25">
      <c r="A17" s="9"/>
      <c r="B17" s="11"/>
      <c r="C17" s="19"/>
      <c r="D17" s="19"/>
      <c r="E17" s="19"/>
      <c r="XEM17" s="9"/>
      <c r="XEN17" s="9"/>
      <c r="XEO17" s="9"/>
      <c r="XER17" s="9"/>
      <c r="XES17" s="9"/>
      <c r="XET17" s="9"/>
      <c r="XEU17" s="9"/>
      <c r="XEV17" s="9"/>
      <c r="XEX17" s="37" t="s">
        <v>84</v>
      </c>
    </row>
    <row r="18" spans="1:29 16367:16382" ht="36.75" x14ac:dyDescent="0.25">
      <c r="A18" s="16" t="s">
        <v>5</v>
      </c>
      <c r="B18" s="16" t="s">
        <v>9</v>
      </c>
      <c r="C18" s="16" t="s">
        <v>42</v>
      </c>
      <c r="D18" s="16" t="s">
        <v>10</v>
      </c>
      <c r="E18" s="16" t="s">
        <v>16</v>
      </c>
      <c r="F18" s="16" t="s">
        <v>48</v>
      </c>
      <c r="G18" s="16" t="s">
        <v>50</v>
      </c>
      <c r="H18" s="16" t="s">
        <v>49</v>
      </c>
      <c r="I18" s="16" t="s">
        <v>30</v>
      </c>
      <c r="J18" s="17" t="s">
        <v>12</v>
      </c>
      <c r="K18" s="17" t="s">
        <v>44</v>
      </c>
      <c r="L18" s="17" t="s">
        <v>43</v>
      </c>
      <c r="M18" s="17" t="s">
        <v>92</v>
      </c>
      <c r="N18" s="17" t="s">
        <v>93</v>
      </c>
      <c r="O18" s="17" t="s">
        <v>94</v>
      </c>
      <c r="P18" s="17" t="s">
        <v>95</v>
      </c>
      <c r="Q18" s="17" t="s">
        <v>97</v>
      </c>
      <c r="R18" s="16" t="s">
        <v>102</v>
      </c>
      <c r="S18" s="16" t="s">
        <v>109</v>
      </c>
      <c r="T18" s="16" t="s">
        <v>98</v>
      </c>
      <c r="U18" s="17" t="s">
        <v>108</v>
      </c>
      <c r="V18" s="17" t="s">
        <v>103</v>
      </c>
      <c r="W18" s="17" t="s">
        <v>104</v>
      </c>
      <c r="X18" s="16" t="s">
        <v>105</v>
      </c>
      <c r="Y18" s="16" t="s">
        <v>106</v>
      </c>
      <c r="Z18" s="16" t="s">
        <v>107</v>
      </c>
      <c r="AA18" s="16" t="s">
        <v>19</v>
      </c>
      <c r="AB18" s="16" t="s">
        <v>18</v>
      </c>
      <c r="AC18" s="16" t="s">
        <v>27</v>
      </c>
      <c r="XER18" s="9"/>
      <c r="XES18" s="9"/>
      <c r="XET18" s="9"/>
      <c r="XEU18" s="9"/>
      <c r="XEV18" s="9"/>
      <c r="XEW18" s="9"/>
      <c r="XEX18" t="s">
        <v>67</v>
      </c>
      <c r="XEY18" s="9"/>
      <c r="XEZ18" s="9"/>
      <c r="XFA18" t="s">
        <v>67</v>
      </c>
    </row>
    <row r="19" spans="1:29 16367:16382" x14ac:dyDescent="0.25">
      <c r="A19" s="46"/>
      <c r="B19" s="51"/>
      <c r="C19" s="107"/>
      <c r="D19" s="108"/>
      <c r="E19" s="109"/>
      <c r="F19" s="109"/>
      <c r="G19" s="61"/>
      <c r="H19" s="110"/>
      <c r="I19" s="59"/>
      <c r="J19" s="60"/>
      <c r="K19" s="31" t="str">
        <f>IFERROR((tblPersoneel[[#This Row],[Betaald Loon Nov 2023]]/tblPersoneel[[#This Row],[uitbetalings deel]])/ tblPersoneel[[#This Row],[uren per week]],"")</f>
        <v/>
      </c>
      <c r="L19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19" s="29"/>
      <c r="N19" s="61"/>
      <c r="O19" s="30"/>
      <c r="P19" s="29">
        <f>IF(tblPersoneel[[#This Row],[Functienaam]]="",,IF(tblPersoneel[[#This Row],[Betaald Loon Nov 2023]]&gt;$D$9,tblPersoneel[[#This Row],[Betaald Loon Nov 2023]],$D$9))</f>
        <v>0</v>
      </c>
      <c r="Q19" s="31" t="str">
        <f>IFERROR((tblPersoneel[[#This Row],[Betaald Loon 01 2026]]/tblPersoneel[[#This Row],[uitbetalings deel]])/ tblPersoneel[[#This Row],[uren per week]],"")</f>
        <v/>
      </c>
      <c r="R19" s="29"/>
      <c r="S19" s="31"/>
      <c r="T19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19" s="29"/>
      <c r="V19" s="61"/>
      <c r="W19" s="66"/>
      <c r="X19" s="29"/>
      <c r="Y19" s="31"/>
      <c r="Z19" s="31"/>
      <c r="AA19" s="32">
        <f>_xlfn.XLOOKUP(tblPersoneel[[#This Row],[Leeftijd]],tblLeeftijdPercentage[leeftijd],tblLeeftijdPercentage[percentage],0,0)</f>
        <v>0</v>
      </c>
      <c r="AB19" s="32" t="e">
        <f>VLOOKUP(tblPersoneel[[#This Row],[Uitbetalings periode]],UitbetaalPeriode[],2,FALSE)</f>
        <v>#N/A</v>
      </c>
      <c r="AC19" s="32" t="e">
        <f>VLOOKUP(tblPersoneel[[#This Row],[Uitbetalings periode]],UitbetaalPeriode[],3,FALSE)</f>
        <v>#N/A</v>
      </c>
      <c r="XER19" s="9"/>
      <c r="XES19" s="9"/>
      <c r="XET19" s="9"/>
      <c r="XEU19" s="9"/>
      <c r="XEV19" s="9"/>
      <c r="XEW19" s="9"/>
      <c r="XEX19" t="s">
        <v>72</v>
      </c>
      <c r="XEY19" s="9"/>
      <c r="XEZ19" s="9"/>
      <c r="XFA19" t="s">
        <v>72</v>
      </c>
    </row>
    <row r="20" spans="1:29 16367:16382" x14ac:dyDescent="0.25">
      <c r="A20" s="42"/>
      <c r="B20" s="55"/>
      <c r="C20" s="55"/>
      <c r="D20" s="56"/>
      <c r="E20" s="43"/>
      <c r="F20" s="43"/>
      <c r="G20" s="57"/>
      <c r="H20" s="44"/>
      <c r="I20" s="45"/>
      <c r="J20" s="58"/>
      <c r="K20" s="31" t="str">
        <f>IFERROR((tblPersoneel[[#This Row],[Betaald Loon Nov 2023]]/tblPersoneel[[#This Row],[uitbetalings deel]])/ tblPersoneel[[#This Row],[uren per week]],"")</f>
        <v/>
      </c>
      <c r="L20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20" s="29"/>
      <c r="N20" s="61"/>
      <c r="O20" s="30"/>
      <c r="P20" s="29">
        <f>IF(tblPersoneel[[#This Row],[Functienaam]]="",,IF(tblPersoneel[[#This Row],[Betaald Loon Nov 2023]]&gt;$D$9,tblPersoneel[[#This Row],[Betaald Loon Nov 2023]],$D$9))</f>
        <v>0</v>
      </c>
      <c r="Q20" s="31" t="str">
        <f>IFERROR((tblPersoneel[[#This Row],[Betaald Loon 01 2026]]/tblPersoneel[[#This Row],[uitbetalings deel]])/ tblPersoneel[[#This Row],[uren per week]],"")</f>
        <v/>
      </c>
      <c r="R20" s="29"/>
      <c r="S20" s="31"/>
      <c r="T20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20" s="29"/>
      <c r="V20" s="61"/>
      <c r="W20" s="66"/>
      <c r="X20" s="29"/>
      <c r="Y20" s="31"/>
      <c r="Z20" s="31"/>
      <c r="AA20" s="32">
        <f>_xlfn.XLOOKUP(tblPersoneel[[#This Row],[Leeftijd]],tblLeeftijdPercentage[leeftijd],tblLeeftijdPercentage[percentage],0,0)</f>
        <v>0</v>
      </c>
      <c r="AB20" s="32" t="e">
        <f>VLOOKUP(tblPersoneel[[#This Row],[Uitbetalings periode]],UitbetaalPeriode[],2,FALSE)</f>
        <v>#N/A</v>
      </c>
      <c r="AC20" s="32" t="e">
        <f>VLOOKUP(tblPersoneel[[#This Row],[Uitbetalings periode]],UitbetaalPeriode[],3,FALSE)</f>
        <v>#N/A</v>
      </c>
      <c r="XER20" s="9"/>
      <c r="XES20" s="9"/>
      <c r="XET20" s="9"/>
      <c r="XEU20" s="9"/>
      <c r="XEV20" s="9"/>
      <c r="XEW20" s="9"/>
      <c r="XEX20" t="s">
        <v>66</v>
      </c>
      <c r="XEY20" s="9"/>
      <c r="XEZ20" s="9"/>
      <c r="XFA20" t="s">
        <v>66</v>
      </c>
    </row>
    <row r="21" spans="1:29 16367:16382" x14ac:dyDescent="0.25">
      <c r="A21" s="46"/>
      <c r="B21" s="51"/>
      <c r="C21" s="51"/>
      <c r="D21" s="52"/>
      <c r="E21" s="47"/>
      <c r="F21" s="47"/>
      <c r="G21" s="53"/>
      <c r="H21" s="48"/>
      <c r="I21" s="49"/>
      <c r="J21" s="54"/>
      <c r="K21" s="31" t="str">
        <f>IFERROR((tblPersoneel[[#This Row],[Betaald Loon Nov 2023]]/tblPersoneel[[#This Row],[uitbetalings deel]])/ tblPersoneel[[#This Row],[uren per week]],"")</f>
        <v/>
      </c>
      <c r="L21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21" s="29"/>
      <c r="N21" s="61"/>
      <c r="O21" s="30"/>
      <c r="P21" s="29">
        <f>IF(tblPersoneel[[#This Row],[Functienaam]]="",,IF(tblPersoneel[[#This Row],[Betaald Loon Nov 2023]]&gt;$D$9,tblPersoneel[[#This Row],[Betaald Loon Nov 2023]],$D$9))</f>
        <v>0</v>
      </c>
      <c r="Q21" s="31" t="str">
        <f>IFERROR((tblPersoneel[[#This Row],[Betaald Loon 01 2026]]/tblPersoneel[[#This Row],[uitbetalings deel]])/ tblPersoneel[[#This Row],[uren per week]],"")</f>
        <v/>
      </c>
      <c r="R21" s="29"/>
      <c r="S21" s="31"/>
      <c r="T21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21" s="29"/>
      <c r="V21" s="61"/>
      <c r="W21" s="66"/>
      <c r="X21" s="29"/>
      <c r="Y21" s="31"/>
      <c r="Z21" s="31"/>
      <c r="AA21" s="32">
        <f>_xlfn.XLOOKUP(tblPersoneel[[#This Row],[Leeftijd]],tblLeeftijdPercentage[leeftijd],tblLeeftijdPercentage[percentage],0,0)</f>
        <v>0</v>
      </c>
      <c r="AB21" s="32" t="e">
        <f>VLOOKUP(tblPersoneel[[#This Row],[Uitbetalings periode]],UitbetaalPeriode[],2,FALSE)</f>
        <v>#N/A</v>
      </c>
      <c r="AC21" s="32" t="e">
        <f>VLOOKUP(tblPersoneel[[#This Row],[Uitbetalings periode]],UitbetaalPeriode[],3,FALSE)</f>
        <v>#N/A</v>
      </c>
      <c r="XER21" s="9"/>
      <c r="XES21" s="9"/>
      <c r="XET21" s="9"/>
      <c r="XEU21" s="9"/>
      <c r="XEV21" s="9"/>
      <c r="XEW21" s="9"/>
      <c r="XEX21" t="s">
        <v>69</v>
      </c>
      <c r="XEY21" s="9"/>
      <c r="XEZ21" s="9"/>
      <c r="XFA21" t="s">
        <v>69</v>
      </c>
    </row>
    <row r="22" spans="1:29 16367:16382" x14ac:dyDescent="0.25">
      <c r="A22" s="42"/>
      <c r="B22" s="55"/>
      <c r="C22" s="55"/>
      <c r="D22" s="56"/>
      <c r="E22" s="43"/>
      <c r="F22" s="43"/>
      <c r="G22" s="57"/>
      <c r="H22" s="44"/>
      <c r="I22" s="59"/>
      <c r="J22" s="60"/>
      <c r="K22" s="50" t="str">
        <f>IFERROR((tblPersoneel[[#This Row],[Betaald Loon Nov 2023]]/tblPersoneel[[#This Row],[uitbetalings deel]])/ tblPersoneel[[#This Row],[uren per week]],"")</f>
        <v/>
      </c>
      <c r="L22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22" s="29"/>
      <c r="N22" s="61"/>
      <c r="O22" s="30"/>
      <c r="P22" s="29">
        <f>IF(tblPersoneel[[#This Row],[Functienaam]]="",,IF(tblPersoneel[[#This Row],[Betaald Loon Nov 2023]]&gt;$D$9,tblPersoneel[[#This Row],[Betaald Loon Nov 2023]],$D$9))</f>
        <v>0</v>
      </c>
      <c r="Q22" s="31" t="str">
        <f>IFERROR((tblPersoneel[[#This Row],[Betaald Loon 01 2026]]/tblPersoneel[[#This Row],[uitbetalings deel]])/ tblPersoneel[[#This Row],[uren per week]],"")</f>
        <v/>
      </c>
      <c r="R22" s="29"/>
      <c r="S22" s="31"/>
      <c r="T22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22" s="29"/>
      <c r="V22" s="61"/>
      <c r="W22" s="66"/>
      <c r="X22" s="29"/>
      <c r="Y22" s="31"/>
      <c r="Z22" s="31"/>
      <c r="AA22" s="32">
        <f>_xlfn.XLOOKUP(tblPersoneel[[#This Row],[Leeftijd]],tblLeeftijdPercentage[leeftijd],tblLeeftijdPercentage[percentage],0,0)</f>
        <v>0</v>
      </c>
      <c r="AB22" s="32" t="e">
        <f>VLOOKUP(tblPersoneel[[#This Row],[Uitbetalings periode]],UitbetaalPeriode[],2,FALSE)</f>
        <v>#N/A</v>
      </c>
      <c r="AC22" s="32" t="e">
        <f>VLOOKUP(tblPersoneel[[#This Row],[Uitbetalings periode]],UitbetaalPeriode[],3,FALSE)</f>
        <v>#N/A</v>
      </c>
      <c r="XES22" s="9"/>
      <c r="XET22" s="9"/>
      <c r="XEU22" s="9"/>
      <c r="XEV22" s="9"/>
      <c r="XEW22" s="9"/>
      <c r="XEX22" t="s">
        <v>65</v>
      </c>
      <c r="XEY22" s="9"/>
      <c r="XEZ22" s="9"/>
      <c r="XFA22" t="s">
        <v>65</v>
      </c>
      <c r="XFB22" s="9"/>
    </row>
    <row r="23" spans="1:29 16367:16382" x14ac:dyDescent="0.25">
      <c r="A23" s="46"/>
      <c r="B23" s="51"/>
      <c r="C23" s="51"/>
      <c r="D23" s="52"/>
      <c r="E23" s="47"/>
      <c r="F23" s="47"/>
      <c r="G23" s="53"/>
      <c r="H23" s="48"/>
      <c r="I23" s="59"/>
      <c r="J23" s="60"/>
      <c r="K23" s="50" t="str">
        <f>IFERROR((tblPersoneel[[#This Row],[Betaald Loon Nov 2023]]/tblPersoneel[[#This Row],[uitbetalings deel]])/ tblPersoneel[[#This Row],[uren per week]],"")</f>
        <v/>
      </c>
      <c r="L23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23" s="29"/>
      <c r="N23" s="61"/>
      <c r="O23" s="30"/>
      <c r="P23" s="29">
        <f>IF(tblPersoneel[[#This Row],[Functienaam]]="",,IF(tblPersoneel[[#This Row],[Betaald Loon Nov 2023]]&gt;$D$9,tblPersoneel[[#This Row],[Betaald Loon Nov 2023]],$D$9))</f>
        <v>0</v>
      </c>
      <c r="Q23" s="31" t="str">
        <f>IFERROR((tblPersoneel[[#This Row],[Betaald Loon 01 2026]]/tblPersoneel[[#This Row],[uitbetalings deel]])/ tblPersoneel[[#This Row],[uren per week]],"")</f>
        <v/>
      </c>
      <c r="R23" s="29"/>
      <c r="S23" s="31"/>
      <c r="T23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23" s="29"/>
      <c r="V23" s="61"/>
      <c r="W23" s="66"/>
      <c r="X23" s="29"/>
      <c r="Y23" s="31"/>
      <c r="Z23" s="31"/>
      <c r="AA23" s="32">
        <f>_xlfn.XLOOKUP(tblPersoneel[[#This Row],[Leeftijd]],tblLeeftijdPercentage[leeftijd],tblLeeftijdPercentage[percentage],0,0)</f>
        <v>0</v>
      </c>
      <c r="AB23" s="32" t="e">
        <f>VLOOKUP(tblPersoneel[[#This Row],[Uitbetalings periode]],UitbetaalPeriode[],2,FALSE)</f>
        <v>#N/A</v>
      </c>
      <c r="AC23" s="32" t="e">
        <f>VLOOKUP(tblPersoneel[[#This Row],[Uitbetalings periode]],UitbetaalPeriode[],3,FALSE)</f>
        <v>#N/A</v>
      </c>
      <c r="XES23" s="9"/>
      <c r="XET23" s="9"/>
      <c r="XEU23" s="9"/>
      <c r="XEV23" s="9"/>
      <c r="XEW23" s="9"/>
      <c r="XEX23" t="s">
        <v>71</v>
      </c>
      <c r="XEY23" s="9"/>
      <c r="XEZ23" s="9"/>
      <c r="XFA23" t="s">
        <v>71</v>
      </c>
      <c r="XFB23" s="9"/>
    </row>
    <row r="24" spans="1:29 16367:16382" x14ac:dyDescent="0.25">
      <c r="A24" s="42"/>
      <c r="B24" s="55"/>
      <c r="C24" s="55"/>
      <c r="D24" s="56"/>
      <c r="E24" s="43"/>
      <c r="F24" s="43"/>
      <c r="G24" s="57"/>
      <c r="H24" s="44"/>
      <c r="I24" s="59"/>
      <c r="J24" s="60"/>
      <c r="K24" s="50" t="str">
        <f>IFERROR((tblPersoneel[[#This Row],[Betaald Loon Nov 2023]]/tblPersoneel[[#This Row],[uitbetalings deel]])/ tblPersoneel[[#This Row],[uren per week]],"")</f>
        <v/>
      </c>
      <c r="L24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24" s="29"/>
      <c r="N24" s="61"/>
      <c r="O24" s="30"/>
      <c r="P24" s="29">
        <f>IF(tblPersoneel[[#This Row],[Functienaam]]="",,IF(tblPersoneel[[#This Row],[Betaald Loon Nov 2023]]&gt;$D$9,tblPersoneel[[#This Row],[Betaald Loon Nov 2023]],$D$9))</f>
        <v>0</v>
      </c>
      <c r="Q24" s="31" t="str">
        <f>IFERROR((tblPersoneel[[#This Row],[Betaald Loon 01 2026]]/tblPersoneel[[#This Row],[uitbetalings deel]])/ tblPersoneel[[#This Row],[uren per week]],"")</f>
        <v/>
      </c>
      <c r="R24" s="29"/>
      <c r="S24" s="31"/>
      <c r="T24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24" s="29"/>
      <c r="V24" s="61"/>
      <c r="W24" s="66"/>
      <c r="X24" s="29"/>
      <c r="Y24" s="31"/>
      <c r="Z24" s="31"/>
      <c r="AA24" s="32">
        <f>_xlfn.XLOOKUP(tblPersoneel[[#This Row],[Leeftijd]],tblLeeftijdPercentage[leeftijd],tblLeeftijdPercentage[percentage],0,0)</f>
        <v>0</v>
      </c>
      <c r="AB24" s="32" t="e">
        <f>VLOOKUP(tblPersoneel[[#This Row],[Uitbetalings periode]],UitbetaalPeriode[],2,FALSE)</f>
        <v>#N/A</v>
      </c>
      <c r="AC24" s="32" t="e">
        <f>VLOOKUP(tblPersoneel[[#This Row],[Uitbetalings periode]],UitbetaalPeriode[],3,FALSE)</f>
        <v>#N/A</v>
      </c>
      <c r="XES24" s="9"/>
      <c r="XET24" s="9"/>
      <c r="XEU24" s="9"/>
      <c r="XEV24" s="9"/>
      <c r="XEW24" s="9"/>
      <c r="XEX24" t="s">
        <v>68</v>
      </c>
      <c r="XEY24" s="9"/>
      <c r="XEZ24" s="9"/>
      <c r="XFA24" t="s">
        <v>68</v>
      </c>
      <c r="XFB24" s="9"/>
    </row>
    <row r="25" spans="1:29 16367:16382" x14ac:dyDescent="0.25">
      <c r="A25" s="46"/>
      <c r="B25" s="51"/>
      <c r="C25" s="51"/>
      <c r="D25" s="52"/>
      <c r="E25" s="47"/>
      <c r="F25" s="47"/>
      <c r="G25" s="53"/>
      <c r="H25" s="48"/>
      <c r="I25" s="59"/>
      <c r="J25" s="60"/>
      <c r="K25" s="50" t="str">
        <f>IFERROR((tblPersoneel[[#This Row],[Betaald Loon Nov 2023]]/tblPersoneel[[#This Row],[uitbetalings deel]])/ tblPersoneel[[#This Row],[uren per week]],"")</f>
        <v/>
      </c>
      <c r="L25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25" s="29"/>
      <c r="N25" s="61"/>
      <c r="O25" s="30"/>
      <c r="P25" s="29">
        <f>IF(tblPersoneel[[#This Row],[Functienaam]]="",,IF(tblPersoneel[[#This Row],[Betaald Loon Nov 2023]]&gt;$D$9,tblPersoneel[[#This Row],[Betaald Loon Nov 2023]],$D$9))</f>
        <v>0</v>
      </c>
      <c r="Q25" s="31" t="str">
        <f>IFERROR((tblPersoneel[[#This Row],[Betaald Loon 01 2026]]/tblPersoneel[[#This Row],[uitbetalings deel]])/ tblPersoneel[[#This Row],[uren per week]],"")</f>
        <v/>
      </c>
      <c r="R25" s="29"/>
      <c r="S25" s="31"/>
      <c r="T25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25" s="29"/>
      <c r="V25" s="61"/>
      <c r="W25" s="66"/>
      <c r="X25" s="29"/>
      <c r="Y25" s="31"/>
      <c r="Z25" s="31"/>
      <c r="AA25" s="32">
        <f>_xlfn.XLOOKUP(tblPersoneel[[#This Row],[Leeftijd]],tblLeeftijdPercentage[leeftijd],tblLeeftijdPercentage[percentage],0,0)</f>
        <v>0</v>
      </c>
      <c r="AB25" s="32" t="e">
        <f>VLOOKUP(tblPersoneel[[#This Row],[Uitbetalings periode]],UitbetaalPeriode[],2,FALSE)</f>
        <v>#N/A</v>
      </c>
      <c r="AC25" s="32" t="e">
        <f>VLOOKUP(tblPersoneel[[#This Row],[Uitbetalings periode]],UitbetaalPeriode[],3,FALSE)</f>
        <v>#N/A</v>
      </c>
      <c r="XES25" s="9"/>
      <c r="XET25" s="9"/>
      <c r="XEU25" s="9"/>
      <c r="XEV25" s="9"/>
      <c r="XEW25" s="9"/>
      <c r="XEX25" s="37" t="s">
        <v>85</v>
      </c>
      <c r="XEY25" s="9"/>
      <c r="XEZ25" s="9"/>
      <c r="XFA25" s="37" t="s">
        <v>85</v>
      </c>
      <c r="XFB25" s="9"/>
    </row>
    <row r="26" spans="1:29 16367:16382" x14ac:dyDescent="0.25">
      <c r="A26" s="42"/>
      <c r="B26" s="55"/>
      <c r="C26" s="55"/>
      <c r="D26" s="56"/>
      <c r="E26" s="43"/>
      <c r="F26" s="43"/>
      <c r="G26" s="57"/>
      <c r="H26" s="44"/>
      <c r="I26" s="59"/>
      <c r="J26" s="60"/>
      <c r="K26" s="50" t="str">
        <f>IFERROR((tblPersoneel[[#This Row],[Betaald Loon Nov 2023]]/tblPersoneel[[#This Row],[uitbetalings deel]])/ tblPersoneel[[#This Row],[uren per week]],"")</f>
        <v/>
      </c>
      <c r="L26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26" s="29"/>
      <c r="N26" s="61"/>
      <c r="O26" s="30"/>
      <c r="P26" s="29">
        <f>IF(tblPersoneel[[#This Row],[Functienaam]]="",,IF(tblPersoneel[[#This Row],[Betaald Loon Nov 2023]]&gt;$D$9,tblPersoneel[[#This Row],[Betaald Loon Nov 2023]],$D$9))</f>
        <v>0</v>
      </c>
      <c r="Q26" s="31" t="str">
        <f>IFERROR((tblPersoneel[[#This Row],[Betaald Loon 01 2026]]/tblPersoneel[[#This Row],[uitbetalings deel]])/ tblPersoneel[[#This Row],[uren per week]],"")</f>
        <v/>
      </c>
      <c r="R26" s="29"/>
      <c r="S26" s="31"/>
      <c r="T26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26" s="29"/>
      <c r="V26" s="61"/>
      <c r="W26" s="66"/>
      <c r="X26" s="29"/>
      <c r="Y26" s="31"/>
      <c r="Z26" s="31"/>
      <c r="AA26" s="32">
        <f>_xlfn.XLOOKUP(tblPersoneel[[#This Row],[Leeftijd]],tblLeeftijdPercentage[leeftijd],tblLeeftijdPercentage[percentage],0,0)</f>
        <v>0</v>
      </c>
      <c r="AB26" s="32" t="e">
        <f>VLOOKUP(tblPersoneel[[#This Row],[Uitbetalings periode]],UitbetaalPeriode[],2,FALSE)</f>
        <v>#N/A</v>
      </c>
      <c r="AC26" s="32" t="e">
        <f>VLOOKUP(tblPersoneel[[#This Row],[Uitbetalings periode]],UitbetaalPeriode[],3,FALSE)</f>
        <v>#N/A</v>
      </c>
      <c r="XES26" s="9"/>
      <c r="XET26" s="9"/>
      <c r="XEU26" s="9"/>
      <c r="XEV26" s="9"/>
      <c r="XEW26" s="9"/>
      <c r="XEX26" s="9"/>
      <c r="XEY26" s="9"/>
      <c r="XEZ26" s="9"/>
      <c r="XFB26" s="9"/>
    </row>
    <row r="27" spans="1:29 16367:16382" x14ac:dyDescent="0.25">
      <c r="A27" s="46"/>
      <c r="B27" s="51"/>
      <c r="C27" s="51"/>
      <c r="D27" s="52"/>
      <c r="E27" s="47"/>
      <c r="F27" s="47"/>
      <c r="G27" s="53"/>
      <c r="H27" s="48"/>
      <c r="I27" s="59"/>
      <c r="J27" s="60"/>
      <c r="K27" s="50" t="str">
        <f>IFERROR((tblPersoneel[[#This Row],[Betaald Loon Nov 2023]]/tblPersoneel[[#This Row],[uitbetalings deel]])/ tblPersoneel[[#This Row],[uren per week]],"")</f>
        <v/>
      </c>
      <c r="L27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27" s="29"/>
      <c r="N27" s="61"/>
      <c r="O27" s="30"/>
      <c r="P27" s="29">
        <f>IF(tblPersoneel[[#This Row],[Functienaam]]="",,IF(tblPersoneel[[#This Row],[Betaald Loon Nov 2023]]&gt;$D$9,tblPersoneel[[#This Row],[Betaald Loon Nov 2023]],$D$9))</f>
        <v>0</v>
      </c>
      <c r="Q27" s="31" t="str">
        <f>IFERROR((tblPersoneel[[#This Row],[Betaald Loon 01 2026]]/tblPersoneel[[#This Row],[uitbetalings deel]])/ tblPersoneel[[#This Row],[uren per week]],"")</f>
        <v/>
      </c>
      <c r="R27" s="29"/>
      <c r="S27" s="31"/>
      <c r="T27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27" s="29"/>
      <c r="V27" s="61"/>
      <c r="W27" s="66"/>
      <c r="X27" s="29"/>
      <c r="Y27" s="31"/>
      <c r="Z27" s="31"/>
      <c r="AA27" s="32">
        <f>_xlfn.XLOOKUP(tblPersoneel[[#This Row],[Leeftijd]],tblLeeftijdPercentage[leeftijd],tblLeeftijdPercentage[percentage],0,0)</f>
        <v>0</v>
      </c>
      <c r="AB27" s="32" t="e">
        <f>VLOOKUP(tblPersoneel[[#This Row],[Uitbetalings periode]],UitbetaalPeriode[],2,FALSE)</f>
        <v>#N/A</v>
      </c>
      <c r="AC27" s="32" t="e">
        <f>VLOOKUP(tblPersoneel[[#This Row],[Uitbetalings periode]],UitbetaalPeriode[],3,FALSE)</f>
        <v>#N/A</v>
      </c>
      <c r="XES27" s="9"/>
      <c r="XET27" s="9"/>
      <c r="XEU27" s="9"/>
      <c r="XEV27" s="9"/>
      <c r="XEW27" s="9"/>
      <c r="XEX27" s="9"/>
      <c r="XEY27" s="9"/>
      <c r="XEZ27" s="9"/>
      <c r="XFB27" s="9"/>
    </row>
    <row r="28" spans="1:29 16367:16382" x14ac:dyDescent="0.25">
      <c r="A28" s="42"/>
      <c r="B28" s="55"/>
      <c r="C28" s="55"/>
      <c r="D28" s="56"/>
      <c r="E28" s="43"/>
      <c r="F28" s="43"/>
      <c r="G28" s="57"/>
      <c r="H28" s="44"/>
      <c r="I28" s="59"/>
      <c r="J28" s="60"/>
      <c r="K28" s="50" t="str">
        <f>IFERROR((tblPersoneel[[#This Row],[Betaald Loon Nov 2023]]/tblPersoneel[[#This Row],[uitbetalings deel]])/ tblPersoneel[[#This Row],[uren per week]],"")</f>
        <v/>
      </c>
      <c r="L28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28" s="29"/>
      <c r="N28" s="61"/>
      <c r="O28" s="30"/>
      <c r="P28" s="29">
        <f>IF(tblPersoneel[[#This Row],[Functienaam]]="",,IF(tblPersoneel[[#This Row],[Betaald Loon Nov 2023]]&gt;$D$9,tblPersoneel[[#This Row],[Betaald Loon Nov 2023]],$D$9))</f>
        <v>0</v>
      </c>
      <c r="Q28" s="31" t="str">
        <f>IFERROR((tblPersoneel[[#This Row],[Betaald Loon 01 2026]]/tblPersoneel[[#This Row],[uitbetalings deel]])/ tblPersoneel[[#This Row],[uren per week]],"")</f>
        <v/>
      </c>
      <c r="R28" s="29"/>
      <c r="S28" s="31"/>
      <c r="T28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28" s="29"/>
      <c r="V28" s="61"/>
      <c r="W28" s="66"/>
      <c r="X28" s="29"/>
      <c r="Y28" s="31"/>
      <c r="Z28" s="31"/>
      <c r="AA28" s="32">
        <f>_xlfn.XLOOKUP(tblPersoneel[[#This Row],[Leeftijd]],tblLeeftijdPercentage[leeftijd],tblLeeftijdPercentage[percentage],0,0)</f>
        <v>0</v>
      </c>
      <c r="AB28" s="32" t="e">
        <f>VLOOKUP(tblPersoneel[[#This Row],[Uitbetalings periode]],UitbetaalPeriode[],2,FALSE)</f>
        <v>#N/A</v>
      </c>
      <c r="AC28" s="32" t="e">
        <f>VLOOKUP(tblPersoneel[[#This Row],[Uitbetalings periode]],UitbetaalPeriode[],3,FALSE)</f>
        <v>#N/A</v>
      </c>
      <c r="XES28" s="9"/>
      <c r="XET28" s="9"/>
      <c r="XEU28" s="9"/>
      <c r="XEV28" s="9"/>
      <c r="XEW28" s="9"/>
      <c r="XEX28" s="9"/>
      <c r="XEY28" s="9"/>
      <c r="XEZ28" s="9"/>
      <c r="XFB28" s="9"/>
    </row>
    <row r="29" spans="1:29 16367:16382" x14ac:dyDescent="0.25">
      <c r="A29" s="46"/>
      <c r="B29" s="51"/>
      <c r="C29" s="51"/>
      <c r="D29" s="52"/>
      <c r="E29" s="47"/>
      <c r="F29" s="47"/>
      <c r="G29" s="53"/>
      <c r="H29" s="48"/>
      <c r="I29" s="59"/>
      <c r="J29" s="60"/>
      <c r="K29" s="50" t="str">
        <f>IFERROR((tblPersoneel[[#This Row],[Betaald Loon Nov 2023]]/tblPersoneel[[#This Row],[uitbetalings deel]])/ tblPersoneel[[#This Row],[uren per week]],"")</f>
        <v/>
      </c>
      <c r="L29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29" s="29"/>
      <c r="N29" s="61"/>
      <c r="O29" s="30"/>
      <c r="P29" s="29">
        <f>IF(tblPersoneel[[#This Row],[Functienaam]]="",,IF(tblPersoneel[[#This Row],[Betaald Loon Nov 2023]]&gt;$D$9,tblPersoneel[[#This Row],[Betaald Loon Nov 2023]],$D$9))</f>
        <v>0</v>
      </c>
      <c r="Q29" s="31" t="str">
        <f>IFERROR((tblPersoneel[[#This Row],[Betaald Loon 01 2026]]/tblPersoneel[[#This Row],[uitbetalings deel]])/ tblPersoneel[[#This Row],[uren per week]],"")</f>
        <v/>
      </c>
      <c r="R29" s="29"/>
      <c r="S29" s="31"/>
      <c r="T29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29" s="29"/>
      <c r="V29" s="61"/>
      <c r="W29" s="66"/>
      <c r="X29" s="29"/>
      <c r="Y29" s="31"/>
      <c r="Z29" s="31"/>
      <c r="AA29" s="32">
        <f>_xlfn.XLOOKUP(tblPersoneel[[#This Row],[Leeftijd]],tblLeeftijdPercentage[leeftijd],tblLeeftijdPercentage[percentage],0,0)</f>
        <v>0</v>
      </c>
      <c r="AB29" s="32" t="e">
        <f>VLOOKUP(tblPersoneel[[#This Row],[Uitbetalings periode]],UitbetaalPeriode[],2,FALSE)</f>
        <v>#N/A</v>
      </c>
      <c r="AC29" s="32" t="e">
        <f>VLOOKUP(tblPersoneel[[#This Row],[Uitbetalings periode]],UitbetaalPeriode[],3,FALSE)</f>
        <v>#N/A</v>
      </c>
      <c r="XES29" s="9"/>
      <c r="XET29" s="9"/>
      <c r="XEU29" s="9"/>
      <c r="XEV29" s="9"/>
      <c r="XEW29" s="9"/>
      <c r="XEX29" s="9"/>
      <c r="XEY29" s="9"/>
      <c r="XEZ29" s="9"/>
      <c r="XFB29" s="9"/>
    </row>
    <row r="30" spans="1:29 16367:16382" x14ac:dyDescent="0.25">
      <c r="A30" s="42"/>
      <c r="B30" s="55"/>
      <c r="C30" s="55"/>
      <c r="D30" s="56"/>
      <c r="E30" s="43"/>
      <c r="F30" s="43"/>
      <c r="G30" s="57"/>
      <c r="H30" s="44"/>
      <c r="I30" s="59"/>
      <c r="J30" s="60"/>
      <c r="K30" s="50" t="str">
        <f>IFERROR((tblPersoneel[[#This Row],[Betaald Loon Nov 2023]]/tblPersoneel[[#This Row],[uitbetalings deel]])/ tblPersoneel[[#This Row],[uren per week]],"")</f>
        <v/>
      </c>
      <c r="L30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30" s="29"/>
      <c r="N30" s="61"/>
      <c r="O30" s="30"/>
      <c r="P30" s="29">
        <f>IF(tblPersoneel[[#This Row],[Functienaam]]="",,IF(tblPersoneel[[#This Row],[Betaald Loon Nov 2023]]&gt;$D$9,tblPersoneel[[#This Row],[Betaald Loon Nov 2023]],$D$9))</f>
        <v>0</v>
      </c>
      <c r="Q30" s="31" t="str">
        <f>IFERROR((tblPersoneel[[#This Row],[Betaald Loon 01 2026]]/tblPersoneel[[#This Row],[uitbetalings deel]])/ tblPersoneel[[#This Row],[uren per week]],"")</f>
        <v/>
      </c>
      <c r="R30" s="29"/>
      <c r="S30" s="31"/>
      <c r="T30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30" s="29"/>
      <c r="V30" s="61"/>
      <c r="W30" s="66"/>
      <c r="X30" s="29"/>
      <c r="Y30" s="31"/>
      <c r="Z30" s="31"/>
      <c r="AA30" s="32">
        <f>_xlfn.XLOOKUP(tblPersoneel[[#This Row],[Leeftijd]],tblLeeftijdPercentage[leeftijd],tblLeeftijdPercentage[percentage],0,0)</f>
        <v>0</v>
      </c>
      <c r="AB30" s="32" t="e">
        <f>VLOOKUP(tblPersoneel[[#This Row],[Uitbetalings periode]],UitbetaalPeriode[],2,FALSE)</f>
        <v>#N/A</v>
      </c>
      <c r="AC30" s="32" t="e">
        <f>VLOOKUP(tblPersoneel[[#This Row],[Uitbetalings periode]],UitbetaalPeriode[],3,FALSE)</f>
        <v>#N/A</v>
      </c>
      <c r="XES30" s="9"/>
      <c r="XET30" s="9"/>
      <c r="XEU30" s="9"/>
      <c r="XEV30" s="9"/>
      <c r="XEW30" s="9"/>
      <c r="XEX30" s="9"/>
      <c r="XEY30" s="9"/>
      <c r="XEZ30" s="9"/>
      <c r="XFB30" s="9"/>
    </row>
    <row r="31" spans="1:29 16367:16382" x14ac:dyDescent="0.25">
      <c r="A31" s="46"/>
      <c r="B31" s="51"/>
      <c r="C31" s="51"/>
      <c r="D31" s="52"/>
      <c r="E31" s="47"/>
      <c r="F31" s="47"/>
      <c r="G31" s="53"/>
      <c r="H31" s="48"/>
      <c r="I31" s="59"/>
      <c r="J31" s="60"/>
      <c r="K31" s="50" t="str">
        <f>IFERROR((tblPersoneel[[#This Row],[Betaald Loon Nov 2023]]/tblPersoneel[[#This Row],[uitbetalings deel]])/ tblPersoneel[[#This Row],[uren per week]],"")</f>
        <v/>
      </c>
      <c r="L31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31" s="29"/>
      <c r="N31" s="61"/>
      <c r="O31" s="30"/>
      <c r="P31" s="29">
        <f>IF(tblPersoneel[[#This Row],[Functienaam]]="",,IF(tblPersoneel[[#This Row],[Betaald Loon Nov 2023]]&gt;$D$9,tblPersoneel[[#This Row],[Betaald Loon Nov 2023]],$D$9))</f>
        <v>0</v>
      </c>
      <c r="Q31" s="31" t="str">
        <f>IFERROR((tblPersoneel[[#This Row],[Betaald Loon 01 2026]]/tblPersoneel[[#This Row],[uitbetalings deel]])/ tblPersoneel[[#This Row],[uren per week]],"")</f>
        <v/>
      </c>
      <c r="R31" s="29"/>
      <c r="S31" s="31"/>
      <c r="T31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31" s="29"/>
      <c r="V31" s="61"/>
      <c r="W31" s="66"/>
      <c r="X31" s="29"/>
      <c r="Y31" s="31"/>
      <c r="Z31" s="31"/>
      <c r="AA31" s="32">
        <f>_xlfn.XLOOKUP(tblPersoneel[[#This Row],[Leeftijd]],tblLeeftijdPercentage[leeftijd],tblLeeftijdPercentage[percentage],0,0)</f>
        <v>0</v>
      </c>
      <c r="AB31" s="32" t="e">
        <f>VLOOKUP(tblPersoneel[[#This Row],[Uitbetalings periode]],UitbetaalPeriode[],2,FALSE)</f>
        <v>#N/A</v>
      </c>
      <c r="AC31" s="32" t="e">
        <f>VLOOKUP(tblPersoneel[[#This Row],[Uitbetalings periode]],UitbetaalPeriode[],3,FALSE)</f>
        <v>#N/A</v>
      </c>
      <c r="XES31" s="9"/>
      <c r="XET31" s="9"/>
      <c r="XEU31" s="9"/>
      <c r="XEV31" s="9"/>
      <c r="XEW31" s="9"/>
      <c r="XEX31" s="9"/>
      <c r="XEY31" s="9"/>
      <c r="XEZ31" s="9"/>
      <c r="XFB31" s="9"/>
    </row>
    <row r="32" spans="1:29 16367:16382" x14ac:dyDescent="0.25">
      <c r="A32" s="42"/>
      <c r="B32" s="55"/>
      <c r="C32" s="55"/>
      <c r="D32" s="56"/>
      <c r="E32" s="43"/>
      <c r="F32" s="43"/>
      <c r="G32" s="57"/>
      <c r="H32" s="44"/>
      <c r="I32" s="59"/>
      <c r="J32" s="60"/>
      <c r="K32" s="50" t="str">
        <f>IFERROR((tblPersoneel[[#This Row],[Betaald Loon Nov 2023]]/tblPersoneel[[#This Row],[uitbetalings deel]])/ tblPersoneel[[#This Row],[uren per week]],"")</f>
        <v/>
      </c>
      <c r="L32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32" s="29"/>
      <c r="N32" s="61"/>
      <c r="O32" s="30"/>
      <c r="P32" s="29">
        <f>IF(tblPersoneel[[#This Row],[Functienaam]]="",,IF(tblPersoneel[[#This Row],[Betaald Loon Nov 2023]]&gt;$D$9,tblPersoneel[[#This Row],[Betaald Loon Nov 2023]],$D$9))</f>
        <v>0</v>
      </c>
      <c r="Q32" s="31" t="str">
        <f>IFERROR((tblPersoneel[[#This Row],[Betaald Loon 01 2026]]/tblPersoneel[[#This Row],[uitbetalings deel]])/ tblPersoneel[[#This Row],[uren per week]],"")</f>
        <v/>
      </c>
      <c r="R32" s="29"/>
      <c r="S32" s="31"/>
      <c r="T32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32" s="29"/>
      <c r="V32" s="61"/>
      <c r="W32" s="66"/>
      <c r="X32" s="29"/>
      <c r="Y32" s="31"/>
      <c r="Z32" s="31"/>
      <c r="AA32" s="32">
        <f>_xlfn.XLOOKUP(tblPersoneel[[#This Row],[Leeftijd]],tblLeeftijdPercentage[leeftijd],tblLeeftijdPercentage[percentage],0,0)</f>
        <v>0</v>
      </c>
      <c r="AB32" s="32" t="e">
        <f>VLOOKUP(tblPersoneel[[#This Row],[Uitbetalings periode]],UitbetaalPeriode[],2,FALSE)</f>
        <v>#N/A</v>
      </c>
      <c r="AC32" s="32" t="e">
        <f>VLOOKUP(tblPersoneel[[#This Row],[Uitbetalings periode]],UitbetaalPeriode[],3,FALSE)</f>
        <v>#N/A</v>
      </c>
      <c r="XES32" s="9"/>
      <c r="XET32" s="9"/>
      <c r="XEU32" s="9"/>
      <c r="XEV32" s="9"/>
      <c r="XEW32" s="9"/>
      <c r="XEX32" s="9"/>
      <c r="XEY32" s="9"/>
      <c r="XEZ32" s="9"/>
      <c r="XFB32" s="9"/>
    </row>
    <row r="33" spans="1:29 16373:16382" x14ac:dyDescent="0.25">
      <c r="A33" s="46"/>
      <c r="B33" s="51"/>
      <c r="C33" s="51"/>
      <c r="D33" s="52"/>
      <c r="E33" s="47"/>
      <c r="F33" s="47"/>
      <c r="G33" s="53"/>
      <c r="H33" s="48"/>
      <c r="I33" s="49"/>
      <c r="J33" s="54"/>
      <c r="K33" s="31" t="str">
        <f>IFERROR((tblPersoneel[[#This Row],[Betaald Loon Nov 2023]]/tblPersoneel[[#This Row],[uitbetalings deel]])/ tblPersoneel[[#This Row],[uren per week]],"")</f>
        <v/>
      </c>
      <c r="L33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33" s="29"/>
      <c r="N33" s="61"/>
      <c r="O33" s="30"/>
      <c r="P33" s="29">
        <f>IF(tblPersoneel[[#This Row],[Functienaam]]="",,IF(tblPersoneel[[#This Row],[Betaald Loon Nov 2023]]&gt;$D$9,tblPersoneel[[#This Row],[Betaald Loon Nov 2023]],$D$9))</f>
        <v>0</v>
      </c>
      <c r="Q33" s="31" t="str">
        <f>IFERROR((tblPersoneel[[#This Row],[Betaald Loon 01 2026]]/tblPersoneel[[#This Row],[uitbetalings deel]])/ tblPersoneel[[#This Row],[uren per week]],"")</f>
        <v/>
      </c>
      <c r="R33" s="29"/>
      <c r="S33" s="31"/>
      <c r="T33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33" s="29"/>
      <c r="V33" s="61"/>
      <c r="W33" s="66"/>
      <c r="X33" s="29"/>
      <c r="Y33" s="31"/>
      <c r="Z33" s="31"/>
      <c r="AA33" s="32">
        <f>_xlfn.XLOOKUP(tblPersoneel[[#This Row],[Leeftijd]],tblLeeftijdPercentage[leeftijd],tblLeeftijdPercentage[percentage],0,0)</f>
        <v>0</v>
      </c>
      <c r="AB33" s="32" t="e">
        <f>VLOOKUP(tblPersoneel[[#This Row],[Uitbetalings periode]],UitbetaalPeriode[],2,FALSE)</f>
        <v>#N/A</v>
      </c>
      <c r="AC33" s="32" t="e">
        <f>VLOOKUP(tblPersoneel[[#This Row],[Uitbetalings periode]],UitbetaalPeriode[],3,FALSE)</f>
        <v>#N/A</v>
      </c>
      <c r="XES33" s="9"/>
      <c r="XET33" s="9"/>
      <c r="XEU33" s="9"/>
      <c r="XEV33" s="9"/>
      <c r="XEW33" s="9"/>
      <c r="XEX33" s="9"/>
      <c r="XEY33" s="9"/>
      <c r="XEZ33" s="9"/>
      <c r="XFB33" s="9"/>
    </row>
    <row r="34" spans="1:29 16373:16382" x14ac:dyDescent="0.25">
      <c r="A34" s="42"/>
      <c r="B34" s="55"/>
      <c r="C34" s="55"/>
      <c r="D34" s="56"/>
      <c r="E34" s="43"/>
      <c r="F34" s="43"/>
      <c r="G34" s="57"/>
      <c r="H34" s="44"/>
      <c r="I34" s="45"/>
      <c r="J34" s="58"/>
      <c r="K34" s="31" t="str">
        <f>IFERROR((tblPersoneel[[#This Row],[Betaald Loon Nov 2023]]/tblPersoneel[[#This Row],[uitbetalings deel]])/ tblPersoneel[[#This Row],[uren per week]],"")</f>
        <v/>
      </c>
      <c r="L34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34" s="29"/>
      <c r="N34" s="61"/>
      <c r="O34" s="30"/>
      <c r="P34" s="29">
        <f>IF(tblPersoneel[[#This Row],[Functienaam]]="",,IF(tblPersoneel[[#This Row],[Betaald Loon Nov 2023]]&gt;$D$9,tblPersoneel[[#This Row],[Betaald Loon Nov 2023]],$D$9))</f>
        <v>0</v>
      </c>
      <c r="Q34" s="31" t="str">
        <f>IFERROR((tblPersoneel[[#This Row],[Betaald Loon 01 2026]]/tblPersoneel[[#This Row],[uitbetalings deel]])/ tblPersoneel[[#This Row],[uren per week]],"")</f>
        <v/>
      </c>
      <c r="R34" s="29"/>
      <c r="S34" s="31"/>
      <c r="T34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34" s="29"/>
      <c r="V34" s="61"/>
      <c r="W34" s="66"/>
      <c r="X34" s="29"/>
      <c r="Y34" s="31"/>
      <c r="Z34" s="31"/>
      <c r="AA34" s="32">
        <f>_xlfn.XLOOKUP(tblPersoneel[[#This Row],[Leeftijd]],tblLeeftijdPercentage[leeftijd],tblLeeftijdPercentage[percentage],0,0)</f>
        <v>0</v>
      </c>
      <c r="AB34" s="32" t="e">
        <f>VLOOKUP(tblPersoneel[[#This Row],[Uitbetalings periode]],UitbetaalPeriode[],2,FALSE)</f>
        <v>#N/A</v>
      </c>
      <c r="AC34" s="32" t="e">
        <f>VLOOKUP(tblPersoneel[[#This Row],[Uitbetalings periode]],UitbetaalPeriode[],3,FALSE)</f>
        <v>#N/A</v>
      </c>
      <c r="XES34" s="9"/>
      <c r="XET34" s="9"/>
      <c r="XEU34" s="9"/>
      <c r="XEV34" s="9"/>
      <c r="XEW34" s="9"/>
      <c r="XEX34" s="9"/>
      <c r="XEY34" s="9"/>
      <c r="XEZ34" s="9"/>
      <c r="XFB34" s="9"/>
    </row>
    <row r="35" spans="1:29 16373:16382" x14ac:dyDescent="0.25">
      <c r="A35" s="46"/>
      <c r="B35" s="51"/>
      <c r="C35" s="51"/>
      <c r="D35" s="52"/>
      <c r="E35" s="47"/>
      <c r="F35" s="47"/>
      <c r="G35" s="53"/>
      <c r="H35" s="48"/>
      <c r="I35" s="49"/>
      <c r="J35" s="54"/>
      <c r="K35" s="31" t="str">
        <f>IFERROR((tblPersoneel[[#This Row],[Betaald Loon Nov 2023]]/tblPersoneel[[#This Row],[uitbetalings deel]])/ tblPersoneel[[#This Row],[uren per week]],"")</f>
        <v/>
      </c>
      <c r="L35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35" s="29"/>
      <c r="N35" s="61"/>
      <c r="O35" s="30"/>
      <c r="P35" s="29">
        <f>IF(tblPersoneel[[#This Row],[Functienaam]]="",,IF(tblPersoneel[[#This Row],[Betaald Loon Nov 2023]]&gt;$D$9,tblPersoneel[[#This Row],[Betaald Loon Nov 2023]],$D$9))</f>
        <v>0</v>
      </c>
      <c r="Q35" s="31" t="str">
        <f>IFERROR((tblPersoneel[[#This Row],[Betaald Loon 01 2026]]/tblPersoneel[[#This Row],[uitbetalings deel]])/ tblPersoneel[[#This Row],[uren per week]],"")</f>
        <v/>
      </c>
      <c r="R35" s="29"/>
      <c r="S35" s="31"/>
      <c r="T35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35" s="29"/>
      <c r="V35" s="61"/>
      <c r="W35" s="66"/>
      <c r="X35" s="29"/>
      <c r="Y35" s="31"/>
      <c r="Z35" s="31"/>
      <c r="AA35" s="32">
        <f>_xlfn.XLOOKUP(tblPersoneel[[#This Row],[Leeftijd]],tblLeeftijdPercentage[leeftijd],tblLeeftijdPercentage[percentage],0,0)</f>
        <v>0</v>
      </c>
      <c r="AB35" s="32" t="e">
        <f>VLOOKUP(tblPersoneel[[#This Row],[Uitbetalings periode]],UitbetaalPeriode[],2,FALSE)</f>
        <v>#N/A</v>
      </c>
      <c r="AC35" s="32" t="e">
        <f>VLOOKUP(tblPersoneel[[#This Row],[Uitbetalings periode]],UitbetaalPeriode[],3,FALSE)</f>
        <v>#N/A</v>
      </c>
      <c r="XES35" s="9"/>
      <c r="XET35" s="9"/>
      <c r="XEU35" s="9"/>
      <c r="XEV35" s="9"/>
      <c r="XEW35" s="9"/>
      <c r="XEX35" s="9"/>
      <c r="XEY35" s="9"/>
      <c r="XEZ35" s="9"/>
      <c r="XFB35" s="9"/>
    </row>
    <row r="36" spans="1:29 16373:16382" x14ac:dyDescent="0.25">
      <c r="A36" s="42"/>
      <c r="B36" s="55"/>
      <c r="C36" s="55"/>
      <c r="D36" s="56"/>
      <c r="E36" s="43"/>
      <c r="F36" s="43"/>
      <c r="G36" s="57"/>
      <c r="H36" s="44"/>
      <c r="I36" s="45"/>
      <c r="J36" s="58"/>
      <c r="K36" s="31" t="str">
        <f>IFERROR((tblPersoneel[[#This Row],[Betaald Loon Nov 2023]]/tblPersoneel[[#This Row],[uitbetalings deel]])/ tblPersoneel[[#This Row],[uren per week]],"")</f>
        <v/>
      </c>
      <c r="L36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36" s="29"/>
      <c r="N36" s="61"/>
      <c r="O36" s="30"/>
      <c r="P36" s="29">
        <f>IF(tblPersoneel[[#This Row],[Functienaam]]="",,IF(tblPersoneel[[#This Row],[Betaald Loon Nov 2023]]&gt;$D$9,tblPersoneel[[#This Row],[Betaald Loon Nov 2023]],$D$9))</f>
        <v>0</v>
      </c>
      <c r="Q36" s="31" t="str">
        <f>IFERROR((tblPersoneel[[#This Row],[Betaald Loon 01 2026]]/tblPersoneel[[#This Row],[uitbetalings deel]])/ tblPersoneel[[#This Row],[uren per week]],"")</f>
        <v/>
      </c>
      <c r="R36" s="29"/>
      <c r="S36" s="31"/>
      <c r="T36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36" s="29"/>
      <c r="V36" s="61"/>
      <c r="W36" s="66"/>
      <c r="X36" s="29"/>
      <c r="Y36" s="31"/>
      <c r="Z36" s="31"/>
      <c r="AA36" s="32">
        <f>_xlfn.XLOOKUP(tblPersoneel[[#This Row],[Leeftijd]],tblLeeftijdPercentage[leeftijd],tblLeeftijdPercentage[percentage],0,0)</f>
        <v>0</v>
      </c>
      <c r="AB36" s="32" t="e">
        <f>VLOOKUP(tblPersoneel[[#This Row],[Uitbetalings periode]],UitbetaalPeriode[],2,FALSE)</f>
        <v>#N/A</v>
      </c>
      <c r="AC36" s="32" t="e">
        <f>VLOOKUP(tblPersoneel[[#This Row],[Uitbetalings periode]],UitbetaalPeriode[],3,FALSE)</f>
        <v>#N/A</v>
      </c>
      <c r="XES36" s="9"/>
      <c r="XET36" s="9"/>
      <c r="XEU36" s="9"/>
      <c r="XEV36" s="9"/>
      <c r="XEW36" s="9"/>
      <c r="XEX36" s="9"/>
      <c r="XEY36" s="9"/>
      <c r="XEZ36" s="9"/>
      <c r="XFB36" s="9"/>
    </row>
    <row r="37" spans="1:29 16373:16382" x14ac:dyDescent="0.25">
      <c r="A37" s="46"/>
      <c r="B37" s="51"/>
      <c r="C37" s="51"/>
      <c r="D37" s="52"/>
      <c r="E37" s="47"/>
      <c r="F37" s="47"/>
      <c r="G37" s="53"/>
      <c r="H37" s="48"/>
      <c r="I37" s="49"/>
      <c r="J37" s="54"/>
      <c r="K37" s="31" t="str">
        <f>IFERROR((tblPersoneel[[#This Row],[Betaald Loon Nov 2023]]/tblPersoneel[[#This Row],[uitbetalings deel]])/ tblPersoneel[[#This Row],[uren per week]],"")</f>
        <v/>
      </c>
      <c r="L37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37" s="29"/>
      <c r="N37" s="61"/>
      <c r="O37" s="30"/>
      <c r="P37" s="29">
        <f>IF(tblPersoneel[[#This Row],[Functienaam]]="",,IF(tblPersoneel[[#This Row],[Betaald Loon Nov 2023]]&gt;$D$9,tblPersoneel[[#This Row],[Betaald Loon Nov 2023]],$D$9))</f>
        <v>0</v>
      </c>
      <c r="Q37" s="31" t="str">
        <f>IFERROR((tblPersoneel[[#This Row],[Betaald Loon 01 2026]]/tblPersoneel[[#This Row],[uitbetalings deel]])/ tblPersoneel[[#This Row],[uren per week]],"")</f>
        <v/>
      </c>
      <c r="R37" s="29"/>
      <c r="S37" s="31"/>
      <c r="T37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37" s="29"/>
      <c r="V37" s="61"/>
      <c r="W37" s="66"/>
      <c r="X37" s="29"/>
      <c r="Y37" s="31"/>
      <c r="Z37" s="31"/>
      <c r="AA37" s="32">
        <f>_xlfn.XLOOKUP(tblPersoneel[[#This Row],[Leeftijd]],tblLeeftijdPercentage[leeftijd],tblLeeftijdPercentage[percentage],0,0)</f>
        <v>0</v>
      </c>
      <c r="AB37" s="32" t="e">
        <f>VLOOKUP(tblPersoneel[[#This Row],[Uitbetalings periode]],UitbetaalPeriode[],2,FALSE)</f>
        <v>#N/A</v>
      </c>
      <c r="AC37" s="32" t="e">
        <f>VLOOKUP(tblPersoneel[[#This Row],[Uitbetalings periode]],UitbetaalPeriode[],3,FALSE)</f>
        <v>#N/A</v>
      </c>
      <c r="XES37" s="9"/>
      <c r="XET37" s="9"/>
      <c r="XEU37" s="9"/>
      <c r="XEV37" s="9"/>
      <c r="XEW37" s="9"/>
      <c r="XEX37" s="9"/>
      <c r="XEY37" s="9"/>
      <c r="XEZ37" s="9"/>
      <c r="XFB37" s="9"/>
    </row>
    <row r="38" spans="1:29 16373:16382" x14ac:dyDescent="0.25">
      <c r="A38" s="42"/>
      <c r="B38" s="55"/>
      <c r="C38" s="55"/>
      <c r="D38" s="56"/>
      <c r="E38" s="43"/>
      <c r="F38" s="43"/>
      <c r="G38" s="57"/>
      <c r="H38" s="44"/>
      <c r="I38" s="45"/>
      <c r="J38" s="58"/>
      <c r="K38" s="31" t="str">
        <f>IFERROR((tblPersoneel[[#This Row],[Betaald Loon Nov 2023]]/tblPersoneel[[#This Row],[uitbetalings deel]])/ tblPersoneel[[#This Row],[uren per week]],"")</f>
        <v/>
      </c>
      <c r="L38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38" s="29"/>
      <c r="N38" s="61"/>
      <c r="O38" s="30"/>
      <c r="P38" s="29">
        <f>IF(tblPersoneel[[#This Row],[Functienaam]]="",,IF(tblPersoneel[[#This Row],[Betaald Loon Nov 2023]]&gt;$D$9,tblPersoneel[[#This Row],[Betaald Loon Nov 2023]],$D$9))</f>
        <v>0</v>
      </c>
      <c r="Q38" s="31" t="str">
        <f>IFERROR((tblPersoneel[[#This Row],[Betaald Loon 01 2026]]/tblPersoneel[[#This Row],[uitbetalings deel]])/ tblPersoneel[[#This Row],[uren per week]],"")</f>
        <v/>
      </c>
      <c r="R38" s="29"/>
      <c r="S38" s="31"/>
      <c r="T38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38" s="29"/>
      <c r="V38" s="61"/>
      <c r="W38" s="66"/>
      <c r="X38" s="29"/>
      <c r="Y38" s="31"/>
      <c r="Z38" s="31"/>
      <c r="AA38" s="32">
        <f>_xlfn.XLOOKUP(tblPersoneel[[#This Row],[Leeftijd]],tblLeeftijdPercentage[leeftijd],tblLeeftijdPercentage[percentage],0,0)</f>
        <v>0</v>
      </c>
      <c r="AB38" s="32" t="e">
        <f>VLOOKUP(tblPersoneel[[#This Row],[Uitbetalings periode]],UitbetaalPeriode[],2,FALSE)</f>
        <v>#N/A</v>
      </c>
      <c r="AC38" s="32" t="e">
        <f>VLOOKUP(tblPersoneel[[#This Row],[Uitbetalings periode]],UitbetaalPeriode[],3,FALSE)</f>
        <v>#N/A</v>
      </c>
      <c r="XES38" s="9"/>
      <c r="XET38" s="9"/>
      <c r="XEU38" s="9"/>
      <c r="XEV38" s="9"/>
      <c r="XEW38" s="9"/>
      <c r="XEX38" s="9"/>
      <c r="XEY38" s="9"/>
      <c r="XEZ38" s="9"/>
      <c r="XFB38" s="9"/>
    </row>
    <row r="39" spans="1:29 16373:16382" x14ac:dyDescent="0.25">
      <c r="A39" s="46"/>
      <c r="B39" s="51"/>
      <c r="C39" s="51"/>
      <c r="D39" s="52"/>
      <c r="E39" s="47"/>
      <c r="F39" s="47"/>
      <c r="G39" s="53"/>
      <c r="H39" s="48"/>
      <c r="I39" s="49"/>
      <c r="J39" s="54"/>
      <c r="K39" s="31" t="str">
        <f>IFERROR((tblPersoneel[[#This Row],[Betaald Loon Nov 2023]]/tblPersoneel[[#This Row],[uitbetalings deel]])/ tblPersoneel[[#This Row],[uren per week]],"")</f>
        <v/>
      </c>
      <c r="L39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39" s="29"/>
      <c r="N39" s="61"/>
      <c r="O39" s="30"/>
      <c r="P39" s="29">
        <f>IF(tblPersoneel[[#This Row],[Functienaam]]="",,IF(tblPersoneel[[#This Row],[Betaald Loon Nov 2023]]&gt;$D$9,tblPersoneel[[#This Row],[Betaald Loon Nov 2023]],$D$9))</f>
        <v>0</v>
      </c>
      <c r="Q39" s="31" t="str">
        <f>IFERROR((tblPersoneel[[#This Row],[Betaald Loon 01 2026]]/tblPersoneel[[#This Row],[uitbetalings deel]])/ tblPersoneel[[#This Row],[uren per week]],"")</f>
        <v/>
      </c>
      <c r="R39" s="29"/>
      <c r="S39" s="31"/>
      <c r="T39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39" s="29"/>
      <c r="V39" s="61"/>
      <c r="W39" s="66"/>
      <c r="X39" s="29"/>
      <c r="Y39" s="31"/>
      <c r="Z39" s="31"/>
      <c r="AA39" s="32">
        <f>_xlfn.XLOOKUP(tblPersoneel[[#This Row],[Leeftijd]],tblLeeftijdPercentage[leeftijd],tblLeeftijdPercentage[percentage],0,0)</f>
        <v>0</v>
      </c>
      <c r="AB39" s="32" t="e">
        <f>VLOOKUP(tblPersoneel[[#This Row],[Uitbetalings periode]],UitbetaalPeriode[],2,FALSE)</f>
        <v>#N/A</v>
      </c>
      <c r="AC39" s="32" t="e">
        <f>VLOOKUP(tblPersoneel[[#This Row],[Uitbetalings periode]],UitbetaalPeriode[],3,FALSE)</f>
        <v>#N/A</v>
      </c>
      <c r="XES39" s="9"/>
      <c r="XET39" s="9"/>
      <c r="XEU39" s="9"/>
      <c r="XEV39" s="9"/>
      <c r="XEW39" s="9"/>
      <c r="XEX39" s="9"/>
      <c r="XEY39" s="9"/>
      <c r="XEZ39" s="9"/>
      <c r="XFB39" s="9"/>
    </row>
    <row r="40" spans="1:29 16373:16382" x14ac:dyDescent="0.25">
      <c r="A40" s="42"/>
      <c r="B40" s="55"/>
      <c r="C40" s="55"/>
      <c r="D40" s="56"/>
      <c r="E40" s="43"/>
      <c r="F40" s="43"/>
      <c r="G40" s="57"/>
      <c r="H40" s="44"/>
      <c r="I40" s="45"/>
      <c r="J40" s="58"/>
      <c r="K40" s="31" t="str">
        <f>IFERROR((tblPersoneel[[#This Row],[Betaald Loon Nov 2023]]/tblPersoneel[[#This Row],[uitbetalings deel]])/ tblPersoneel[[#This Row],[uren per week]],"")</f>
        <v/>
      </c>
      <c r="L40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40" s="29"/>
      <c r="N40" s="61"/>
      <c r="O40" s="30"/>
      <c r="P40" s="29">
        <f>IF(tblPersoneel[[#This Row],[Functienaam]]="",,IF(tblPersoneel[[#This Row],[Betaald Loon Nov 2023]]&gt;$D$9,tblPersoneel[[#This Row],[Betaald Loon Nov 2023]],$D$9))</f>
        <v>0</v>
      </c>
      <c r="Q40" s="31" t="str">
        <f>IFERROR((tblPersoneel[[#This Row],[Betaald Loon 01 2026]]/tblPersoneel[[#This Row],[uitbetalings deel]])/ tblPersoneel[[#This Row],[uren per week]],"")</f>
        <v/>
      </c>
      <c r="R40" s="29"/>
      <c r="S40" s="31"/>
      <c r="T40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40" s="29"/>
      <c r="V40" s="61"/>
      <c r="W40" s="66"/>
      <c r="X40" s="29"/>
      <c r="Y40" s="31"/>
      <c r="Z40" s="31"/>
      <c r="AA40" s="32">
        <f>_xlfn.XLOOKUP(tblPersoneel[[#This Row],[Leeftijd]],tblLeeftijdPercentage[leeftijd],tblLeeftijdPercentage[percentage],0,0)</f>
        <v>0</v>
      </c>
      <c r="AB40" s="32" t="e">
        <f>VLOOKUP(tblPersoneel[[#This Row],[Uitbetalings periode]],UitbetaalPeriode[],2,FALSE)</f>
        <v>#N/A</v>
      </c>
      <c r="AC40" s="32" t="e">
        <f>VLOOKUP(tblPersoneel[[#This Row],[Uitbetalings periode]],UitbetaalPeriode[],3,FALSE)</f>
        <v>#N/A</v>
      </c>
    </row>
    <row r="41" spans="1:29 16373:16382" x14ac:dyDescent="0.25">
      <c r="A41" s="46"/>
      <c r="B41" s="51"/>
      <c r="C41" s="51"/>
      <c r="D41" s="52"/>
      <c r="E41" s="47"/>
      <c r="F41" s="47"/>
      <c r="G41" s="53"/>
      <c r="H41" s="48"/>
      <c r="I41" s="49"/>
      <c r="J41" s="54"/>
      <c r="K41" s="31" t="str">
        <f>IFERROR((tblPersoneel[[#This Row],[Betaald Loon Nov 2023]]/tblPersoneel[[#This Row],[uitbetalings deel]])/ tblPersoneel[[#This Row],[uren per week]],"")</f>
        <v/>
      </c>
      <c r="L41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41" s="29"/>
      <c r="N41" s="61"/>
      <c r="O41" s="30"/>
      <c r="P41" s="29">
        <f>IF(tblPersoneel[[#This Row],[Functienaam]]="",,IF(tblPersoneel[[#This Row],[Betaald Loon Nov 2023]]&gt;$D$9,tblPersoneel[[#This Row],[Betaald Loon Nov 2023]],$D$9))</f>
        <v>0</v>
      </c>
      <c r="Q41" s="31" t="str">
        <f>IFERROR((tblPersoneel[[#This Row],[Betaald Loon 01 2026]]/tblPersoneel[[#This Row],[uitbetalings deel]])/ tblPersoneel[[#This Row],[uren per week]],"")</f>
        <v/>
      </c>
      <c r="R41" s="29"/>
      <c r="S41" s="31"/>
      <c r="T41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41" s="29"/>
      <c r="V41" s="61"/>
      <c r="W41" s="66"/>
      <c r="X41" s="29"/>
      <c r="Y41" s="31"/>
      <c r="Z41" s="31"/>
      <c r="AA41" s="32">
        <f>_xlfn.XLOOKUP(tblPersoneel[[#This Row],[Leeftijd]],tblLeeftijdPercentage[leeftijd],tblLeeftijdPercentage[percentage],0,0)</f>
        <v>0</v>
      </c>
      <c r="AB41" s="32" t="e">
        <f>VLOOKUP(tblPersoneel[[#This Row],[Uitbetalings periode]],UitbetaalPeriode[],2,FALSE)</f>
        <v>#N/A</v>
      </c>
      <c r="AC41" s="32" t="e">
        <f>VLOOKUP(tblPersoneel[[#This Row],[Uitbetalings periode]],UitbetaalPeriode[],3,FALSE)</f>
        <v>#N/A</v>
      </c>
    </row>
    <row r="42" spans="1:29 16373:16382" x14ac:dyDescent="0.25">
      <c r="A42" s="42"/>
      <c r="B42" s="55"/>
      <c r="C42" s="55"/>
      <c r="D42" s="56"/>
      <c r="E42" s="43"/>
      <c r="F42" s="43"/>
      <c r="G42" s="57"/>
      <c r="H42" s="44"/>
      <c r="I42" s="45"/>
      <c r="J42" s="58"/>
      <c r="K42" s="31" t="str">
        <f>IFERROR((tblPersoneel[[#This Row],[Betaald Loon Nov 2023]]/tblPersoneel[[#This Row],[uitbetalings deel]])/ tblPersoneel[[#This Row],[uren per week]],"")</f>
        <v/>
      </c>
      <c r="L42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42" s="29"/>
      <c r="N42" s="61"/>
      <c r="O42" s="30"/>
      <c r="P42" s="29">
        <f>IF(tblPersoneel[[#This Row],[Functienaam]]="",,IF(tblPersoneel[[#This Row],[Betaald Loon Nov 2023]]&gt;$D$9,tblPersoneel[[#This Row],[Betaald Loon Nov 2023]],$D$9))</f>
        <v>0</v>
      </c>
      <c r="Q42" s="31" t="str">
        <f>IFERROR((tblPersoneel[[#This Row],[Betaald Loon 01 2026]]/tblPersoneel[[#This Row],[uitbetalings deel]])/ tblPersoneel[[#This Row],[uren per week]],"")</f>
        <v/>
      </c>
      <c r="R42" s="29"/>
      <c r="S42" s="31"/>
      <c r="T42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42" s="29"/>
      <c r="V42" s="61"/>
      <c r="W42" s="66"/>
      <c r="X42" s="29"/>
      <c r="Y42" s="31"/>
      <c r="Z42" s="31"/>
      <c r="AA42" s="32">
        <f>_xlfn.XLOOKUP(tblPersoneel[[#This Row],[Leeftijd]],tblLeeftijdPercentage[leeftijd],tblLeeftijdPercentage[percentage],0,0)</f>
        <v>0</v>
      </c>
      <c r="AB42" s="32" t="e">
        <f>VLOOKUP(tblPersoneel[[#This Row],[Uitbetalings periode]],UitbetaalPeriode[],2,FALSE)</f>
        <v>#N/A</v>
      </c>
      <c r="AC42" s="32" t="e">
        <f>VLOOKUP(tblPersoneel[[#This Row],[Uitbetalings periode]],UitbetaalPeriode[],3,FALSE)</f>
        <v>#N/A</v>
      </c>
    </row>
    <row r="43" spans="1:29 16373:16382" x14ac:dyDescent="0.25">
      <c r="A43" s="46"/>
      <c r="B43" s="51"/>
      <c r="C43" s="51"/>
      <c r="D43" s="52"/>
      <c r="E43" s="47"/>
      <c r="F43" s="47"/>
      <c r="G43" s="53"/>
      <c r="H43" s="48"/>
      <c r="I43" s="49"/>
      <c r="J43" s="54"/>
      <c r="K43" s="31" t="str">
        <f>IFERROR((tblPersoneel[[#This Row],[Betaald Loon Nov 2023]]/tblPersoneel[[#This Row],[uitbetalings deel]])/ tblPersoneel[[#This Row],[uren per week]],"")</f>
        <v/>
      </c>
      <c r="L43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43" s="29"/>
      <c r="N43" s="61"/>
      <c r="O43" s="30"/>
      <c r="P43" s="29">
        <f>IF(tblPersoneel[[#This Row],[Functienaam]]="",,IF(tblPersoneel[[#This Row],[Betaald Loon Nov 2023]]&gt;$D$9,tblPersoneel[[#This Row],[Betaald Loon Nov 2023]],$D$9))</f>
        <v>0</v>
      </c>
      <c r="Q43" s="31" t="str">
        <f>IFERROR((tblPersoneel[[#This Row],[Betaald Loon 01 2026]]/tblPersoneel[[#This Row],[uitbetalings deel]])/ tblPersoneel[[#This Row],[uren per week]],"")</f>
        <v/>
      </c>
      <c r="R43" s="29"/>
      <c r="S43" s="31"/>
      <c r="T43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43" s="29"/>
      <c r="V43" s="61"/>
      <c r="W43" s="66"/>
      <c r="X43" s="29"/>
      <c r="Y43" s="31"/>
      <c r="Z43" s="31"/>
      <c r="AA43" s="32">
        <f>_xlfn.XLOOKUP(tblPersoneel[[#This Row],[Leeftijd]],tblLeeftijdPercentage[leeftijd],tblLeeftijdPercentage[percentage],0,0)</f>
        <v>0</v>
      </c>
      <c r="AB43" s="32" t="e">
        <f>VLOOKUP(tblPersoneel[[#This Row],[Uitbetalings periode]],UitbetaalPeriode[],2,FALSE)</f>
        <v>#N/A</v>
      </c>
      <c r="AC43" s="32" t="e">
        <f>VLOOKUP(tblPersoneel[[#This Row],[Uitbetalings periode]],UitbetaalPeriode[],3,FALSE)</f>
        <v>#N/A</v>
      </c>
    </row>
    <row r="44" spans="1:29 16373:16382" x14ac:dyDescent="0.25">
      <c r="A44" s="42"/>
      <c r="B44" s="55"/>
      <c r="C44" s="55"/>
      <c r="D44" s="56"/>
      <c r="E44" s="43"/>
      <c r="F44" s="43"/>
      <c r="G44" s="57"/>
      <c r="H44" s="44"/>
      <c r="I44" s="45"/>
      <c r="J44" s="58"/>
      <c r="K44" s="31" t="str">
        <f>IFERROR((tblPersoneel[[#This Row],[Betaald Loon Nov 2023]]/tblPersoneel[[#This Row],[uitbetalings deel]])/ tblPersoneel[[#This Row],[uren per week]],"")</f>
        <v/>
      </c>
      <c r="L44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44" s="29"/>
      <c r="N44" s="61"/>
      <c r="O44" s="30"/>
      <c r="P44" s="29">
        <f>IF(tblPersoneel[[#This Row],[Functienaam]]="",,IF(tblPersoneel[[#This Row],[Betaald Loon Nov 2023]]&gt;$D$9,tblPersoneel[[#This Row],[Betaald Loon Nov 2023]],$D$9))</f>
        <v>0</v>
      </c>
      <c r="Q44" s="31" t="str">
        <f>IFERROR((tblPersoneel[[#This Row],[Betaald Loon 01 2026]]/tblPersoneel[[#This Row],[uitbetalings deel]])/ tblPersoneel[[#This Row],[uren per week]],"")</f>
        <v/>
      </c>
      <c r="R44" s="29"/>
      <c r="S44" s="31"/>
      <c r="T44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44" s="29"/>
      <c r="V44" s="61"/>
      <c r="W44" s="66"/>
      <c r="X44" s="29"/>
      <c r="Y44" s="31"/>
      <c r="Z44" s="31"/>
      <c r="AA44" s="32">
        <f>_xlfn.XLOOKUP(tblPersoneel[[#This Row],[Leeftijd]],tblLeeftijdPercentage[leeftijd],tblLeeftijdPercentage[percentage],0,0)</f>
        <v>0</v>
      </c>
      <c r="AB44" s="32" t="e">
        <f>VLOOKUP(tblPersoneel[[#This Row],[Uitbetalings periode]],UitbetaalPeriode[],2,FALSE)</f>
        <v>#N/A</v>
      </c>
      <c r="AC44" s="32" t="e">
        <f>VLOOKUP(tblPersoneel[[#This Row],[Uitbetalings periode]],UitbetaalPeriode[],3,FALSE)</f>
        <v>#N/A</v>
      </c>
    </row>
    <row r="45" spans="1:29 16373:16382" x14ac:dyDescent="0.25">
      <c r="A45" s="46"/>
      <c r="B45" s="51"/>
      <c r="C45" s="51"/>
      <c r="D45" s="52"/>
      <c r="E45" s="47"/>
      <c r="F45" s="47"/>
      <c r="G45" s="53"/>
      <c r="H45" s="48"/>
      <c r="I45" s="49"/>
      <c r="J45" s="54"/>
      <c r="K45" s="31" t="str">
        <f>IFERROR((tblPersoneel[[#This Row],[Betaald Loon Nov 2023]]/tblPersoneel[[#This Row],[uitbetalings deel]])/ tblPersoneel[[#This Row],[uren per week]],"")</f>
        <v/>
      </c>
      <c r="L45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45" s="29"/>
      <c r="N45" s="61"/>
      <c r="O45" s="30"/>
      <c r="P45" s="29">
        <f>IF(tblPersoneel[[#This Row],[Functienaam]]="",,IF(tblPersoneel[[#This Row],[Betaald Loon Nov 2023]]&gt;$D$9,tblPersoneel[[#This Row],[Betaald Loon Nov 2023]],$D$9))</f>
        <v>0</v>
      </c>
      <c r="Q45" s="31" t="str">
        <f>IFERROR((tblPersoneel[[#This Row],[Betaald Loon 01 2026]]/tblPersoneel[[#This Row],[uitbetalings deel]])/ tblPersoneel[[#This Row],[uren per week]],"")</f>
        <v/>
      </c>
      <c r="R45" s="29"/>
      <c r="S45" s="31"/>
      <c r="T45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45" s="29"/>
      <c r="V45" s="61"/>
      <c r="W45" s="66"/>
      <c r="X45" s="29"/>
      <c r="Y45" s="31"/>
      <c r="Z45" s="31"/>
      <c r="AA45" s="32">
        <f>_xlfn.XLOOKUP(tblPersoneel[[#This Row],[Leeftijd]],tblLeeftijdPercentage[leeftijd],tblLeeftijdPercentage[percentage],0,0)</f>
        <v>0</v>
      </c>
      <c r="AB45" s="32" t="e">
        <f>VLOOKUP(tblPersoneel[[#This Row],[Uitbetalings periode]],UitbetaalPeriode[],2,FALSE)</f>
        <v>#N/A</v>
      </c>
      <c r="AC45" s="32" t="e">
        <f>VLOOKUP(tblPersoneel[[#This Row],[Uitbetalings periode]],UitbetaalPeriode[],3,FALSE)</f>
        <v>#N/A</v>
      </c>
    </row>
    <row r="46" spans="1:29 16373:16382" x14ac:dyDescent="0.25">
      <c r="A46" s="42"/>
      <c r="B46" s="55"/>
      <c r="C46" s="55"/>
      <c r="D46" s="56"/>
      <c r="E46" s="43"/>
      <c r="F46" s="43"/>
      <c r="G46" s="57"/>
      <c r="H46" s="44"/>
      <c r="I46" s="45"/>
      <c r="J46" s="58"/>
      <c r="K46" s="31" t="str">
        <f>IFERROR((tblPersoneel[[#This Row],[Betaald Loon Nov 2023]]/tblPersoneel[[#This Row],[uitbetalings deel]])/ tblPersoneel[[#This Row],[uren per week]],"")</f>
        <v/>
      </c>
      <c r="L46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46" s="29"/>
      <c r="N46" s="61"/>
      <c r="O46" s="30"/>
      <c r="P46" s="29">
        <f>IF(tblPersoneel[[#This Row],[Functienaam]]="",,IF(tblPersoneel[[#This Row],[Betaald Loon Nov 2023]]&gt;$D$9,tblPersoneel[[#This Row],[Betaald Loon Nov 2023]],$D$9))</f>
        <v>0</v>
      </c>
      <c r="Q46" s="31" t="str">
        <f>IFERROR((tblPersoneel[[#This Row],[Betaald Loon 01 2026]]/tblPersoneel[[#This Row],[uitbetalings deel]])/ tblPersoneel[[#This Row],[uren per week]],"")</f>
        <v/>
      </c>
      <c r="R46" s="29"/>
      <c r="S46" s="31"/>
      <c r="T46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46" s="29"/>
      <c r="V46" s="61"/>
      <c r="W46" s="66"/>
      <c r="X46" s="29"/>
      <c r="Y46" s="31"/>
      <c r="Z46" s="31"/>
      <c r="AA46" s="32">
        <f>_xlfn.XLOOKUP(tblPersoneel[[#This Row],[Leeftijd]],tblLeeftijdPercentage[leeftijd],tblLeeftijdPercentage[percentage],0,0)</f>
        <v>0</v>
      </c>
      <c r="AB46" s="32" t="e">
        <f>VLOOKUP(tblPersoneel[[#This Row],[Uitbetalings periode]],UitbetaalPeriode[],2,FALSE)</f>
        <v>#N/A</v>
      </c>
      <c r="AC46" s="32" t="e">
        <f>VLOOKUP(tblPersoneel[[#This Row],[Uitbetalings periode]],UitbetaalPeriode[],3,FALSE)</f>
        <v>#N/A</v>
      </c>
    </row>
    <row r="47" spans="1:29 16373:16382" x14ac:dyDescent="0.25">
      <c r="A47" s="46"/>
      <c r="B47" s="51"/>
      <c r="C47" s="51"/>
      <c r="D47" s="52"/>
      <c r="E47" s="47"/>
      <c r="F47" s="47"/>
      <c r="G47" s="53"/>
      <c r="H47" s="48"/>
      <c r="I47" s="49"/>
      <c r="J47" s="54"/>
      <c r="K47" s="31" t="str">
        <f>IFERROR((tblPersoneel[[#This Row],[Betaald Loon Nov 2023]]/tblPersoneel[[#This Row],[uitbetalings deel]])/ tblPersoneel[[#This Row],[uren per week]],"")</f>
        <v/>
      </c>
      <c r="L47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47" s="29"/>
      <c r="N47" s="61"/>
      <c r="O47" s="30"/>
      <c r="P47" s="29">
        <f>IF(tblPersoneel[[#This Row],[Functienaam]]="",,IF(tblPersoneel[[#This Row],[Betaald Loon Nov 2023]]&gt;$D$9,tblPersoneel[[#This Row],[Betaald Loon Nov 2023]],$D$9))</f>
        <v>0</v>
      </c>
      <c r="Q47" s="31" t="str">
        <f>IFERROR((tblPersoneel[[#This Row],[Betaald Loon 01 2026]]/tblPersoneel[[#This Row],[uitbetalings deel]])/ tblPersoneel[[#This Row],[uren per week]],"")</f>
        <v/>
      </c>
      <c r="R47" s="29"/>
      <c r="S47" s="31"/>
      <c r="T47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47" s="29"/>
      <c r="V47" s="61"/>
      <c r="W47" s="66"/>
      <c r="X47" s="29"/>
      <c r="Y47" s="31"/>
      <c r="Z47" s="31"/>
      <c r="AA47" s="32">
        <f>_xlfn.XLOOKUP(tblPersoneel[[#This Row],[Leeftijd]],tblLeeftijdPercentage[leeftijd],tblLeeftijdPercentage[percentage],0,0)</f>
        <v>0</v>
      </c>
      <c r="AB47" s="32" t="e">
        <f>VLOOKUP(tblPersoneel[[#This Row],[Uitbetalings periode]],UitbetaalPeriode[],2,FALSE)</f>
        <v>#N/A</v>
      </c>
      <c r="AC47" s="32" t="e">
        <f>VLOOKUP(tblPersoneel[[#This Row],[Uitbetalings periode]],UitbetaalPeriode[],3,FALSE)</f>
        <v>#N/A</v>
      </c>
    </row>
    <row r="48" spans="1:29 16373:16382" x14ac:dyDescent="0.25">
      <c r="A48" s="42"/>
      <c r="B48" s="55"/>
      <c r="C48" s="55"/>
      <c r="D48" s="56"/>
      <c r="E48" s="43"/>
      <c r="F48" s="43"/>
      <c r="G48" s="57"/>
      <c r="H48" s="44"/>
      <c r="I48" s="45"/>
      <c r="J48" s="58"/>
      <c r="K48" s="31" t="str">
        <f>IFERROR((tblPersoneel[[#This Row],[Betaald Loon Nov 2023]]/tblPersoneel[[#This Row],[uitbetalings deel]])/ tblPersoneel[[#This Row],[uren per week]],"")</f>
        <v/>
      </c>
      <c r="L48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48" s="29"/>
      <c r="N48" s="61"/>
      <c r="O48" s="30"/>
      <c r="P48" s="29">
        <f>IF(tblPersoneel[[#This Row],[Functienaam]]="",,IF(tblPersoneel[[#This Row],[Betaald Loon Nov 2023]]&gt;$D$9,tblPersoneel[[#This Row],[Betaald Loon Nov 2023]],$D$9))</f>
        <v>0</v>
      </c>
      <c r="Q48" s="31" t="str">
        <f>IFERROR((tblPersoneel[[#This Row],[Betaald Loon 01 2026]]/tblPersoneel[[#This Row],[uitbetalings deel]])/ tblPersoneel[[#This Row],[uren per week]],"")</f>
        <v/>
      </c>
      <c r="R48" s="29"/>
      <c r="S48" s="31"/>
      <c r="T48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48" s="29"/>
      <c r="V48" s="61"/>
      <c r="W48" s="66"/>
      <c r="X48" s="29"/>
      <c r="Y48" s="31"/>
      <c r="Z48" s="31"/>
      <c r="AA48" s="32">
        <f>_xlfn.XLOOKUP(tblPersoneel[[#This Row],[Leeftijd]],tblLeeftijdPercentage[leeftijd],tblLeeftijdPercentage[percentage],0,0)</f>
        <v>0</v>
      </c>
      <c r="AB48" s="32" t="e">
        <f>VLOOKUP(tblPersoneel[[#This Row],[Uitbetalings periode]],UitbetaalPeriode[],2,FALSE)</f>
        <v>#N/A</v>
      </c>
      <c r="AC48" s="32" t="e">
        <f>VLOOKUP(tblPersoneel[[#This Row],[Uitbetalings periode]],UitbetaalPeriode[],3,FALSE)</f>
        <v>#N/A</v>
      </c>
    </row>
    <row r="49" spans="1:29" x14ac:dyDescent="0.25">
      <c r="A49" s="46"/>
      <c r="B49" s="51"/>
      <c r="C49" s="51"/>
      <c r="D49" s="52"/>
      <c r="E49" s="47"/>
      <c r="F49" s="47"/>
      <c r="G49" s="53"/>
      <c r="H49" s="48"/>
      <c r="I49" s="49"/>
      <c r="J49" s="54"/>
      <c r="K49" s="31" t="str">
        <f>IFERROR((tblPersoneel[[#This Row],[Betaald Loon Nov 2023]]/tblPersoneel[[#This Row],[uitbetalings deel]])/ tblPersoneel[[#This Row],[uren per week]],"")</f>
        <v/>
      </c>
      <c r="L49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49" s="29"/>
      <c r="N49" s="61"/>
      <c r="O49" s="30"/>
      <c r="P49" s="29">
        <f>IF(tblPersoneel[[#This Row],[Functienaam]]="",,IF(tblPersoneel[[#This Row],[Betaald Loon Nov 2023]]&gt;$D$9,tblPersoneel[[#This Row],[Betaald Loon Nov 2023]],$D$9))</f>
        <v>0</v>
      </c>
      <c r="Q49" s="31" t="str">
        <f>IFERROR((tblPersoneel[[#This Row],[Betaald Loon 01 2026]]/tblPersoneel[[#This Row],[uitbetalings deel]])/ tblPersoneel[[#This Row],[uren per week]],"")</f>
        <v/>
      </c>
      <c r="R49" s="29"/>
      <c r="S49" s="31"/>
      <c r="T49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49" s="29"/>
      <c r="V49" s="61"/>
      <c r="W49" s="66"/>
      <c r="X49" s="29"/>
      <c r="Y49" s="31"/>
      <c r="Z49" s="31"/>
      <c r="AA49" s="32">
        <f>_xlfn.XLOOKUP(tblPersoneel[[#This Row],[Leeftijd]],tblLeeftijdPercentage[leeftijd],tblLeeftijdPercentage[percentage],0,0)</f>
        <v>0</v>
      </c>
      <c r="AB49" s="32" t="e">
        <f>VLOOKUP(tblPersoneel[[#This Row],[Uitbetalings periode]],UitbetaalPeriode[],2,FALSE)</f>
        <v>#N/A</v>
      </c>
      <c r="AC49" s="32" t="e">
        <f>VLOOKUP(tblPersoneel[[#This Row],[Uitbetalings periode]],UitbetaalPeriode[],3,FALSE)</f>
        <v>#N/A</v>
      </c>
    </row>
    <row r="50" spans="1:29" x14ac:dyDescent="0.25">
      <c r="A50" s="27"/>
      <c r="B50" s="27"/>
      <c r="C50" s="27"/>
      <c r="D50" s="28"/>
      <c r="E50" s="12"/>
      <c r="F50" s="12"/>
      <c r="G50" s="20"/>
      <c r="H50" s="13"/>
      <c r="I50" s="14"/>
      <c r="J50" s="29"/>
      <c r="K50" s="31" t="str">
        <f>IFERROR((tblPersoneel[[#This Row],[Betaald Loon Nov 2023]]/tblPersoneel[[#This Row],[uitbetalings deel]])/ tblPersoneel[[#This Row],[uren per week]],"")</f>
        <v/>
      </c>
      <c r="L50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50" s="29"/>
      <c r="N50" s="61"/>
      <c r="O50" s="30"/>
      <c r="P50" s="29">
        <f>IF(tblPersoneel[[#This Row],[Functienaam]]="",,IF(tblPersoneel[[#This Row],[Betaald Loon Nov 2023]]&gt;$D$9,tblPersoneel[[#This Row],[Betaald Loon Nov 2023]],$D$9))</f>
        <v>0</v>
      </c>
      <c r="Q50" s="31" t="str">
        <f>IFERROR((tblPersoneel[[#This Row],[Betaald Loon 01 2026]]/tblPersoneel[[#This Row],[uitbetalings deel]])/ tblPersoneel[[#This Row],[uren per week]],"")</f>
        <v/>
      </c>
      <c r="R50" s="29"/>
      <c r="S50" s="31"/>
      <c r="T50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50" s="29"/>
      <c r="V50" s="61"/>
      <c r="W50" s="66"/>
      <c r="X50" s="29"/>
      <c r="Y50" s="31"/>
      <c r="Z50" s="31"/>
      <c r="AA50" s="32">
        <f>_xlfn.XLOOKUP(tblPersoneel[[#This Row],[Leeftijd]],tblLeeftijdPercentage[leeftijd],tblLeeftijdPercentage[percentage],0,0)</f>
        <v>0</v>
      </c>
      <c r="AB50" s="32" t="e">
        <f>VLOOKUP(tblPersoneel[[#This Row],[Uitbetalings periode]],UitbetaalPeriode[],2,FALSE)</f>
        <v>#N/A</v>
      </c>
      <c r="AC50" s="32" t="e">
        <f>VLOOKUP(tblPersoneel[[#This Row],[Uitbetalings periode]],UitbetaalPeriode[],3,FALSE)</f>
        <v>#N/A</v>
      </c>
    </row>
    <row r="51" spans="1:29" x14ac:dyDescent="0.25">
      <c r="A51" s="27"/>
      <c r="B51" s="27"/>
      <c r="C51" s="27"/>
      <c r="D51" s="28"/>
      <c r="E51" s="12"/>
      <c r="F51" s="12"/>
      <c r="G51" s="20"/>
      <c r="H51" s="13"/>
      <c r="I51" s="14"/>
      <c r="J51" s="29"/>
      <c r="K51" s="31" t="str">
        <f>IFERROR((tblPersoneel[[#This Row],[Betaald Loon Nov 2023]]/tblPersoneel[[#This Row],[uitbetalings deel]])/ tblPersoneel[[#This Row],[uren per week]],"")</f>
        <v/>
      </c>
      <c r="L51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51" s="29"/>
      <c r="N51" s="61"/>
      <c r="O51" s="30"/>
      <c r="P51" s="29">
        <f>IF(tblPersoneel[[#This Row],[Functienaam]]="",,IF(tblPersoneel[[#This Row],[Betaald Loon Nov 2023]]&gt;$D$9,tblPersoneel[[#This Row],[Betaald Loon Nov 2023]],$D$9))</f>
        <v>0</v>
      </c>
      <c r="Q51" s="31" t="str">
        <f>IFERROR((tblPersoneel[[#This Row],[Betaald Loon 01 2026]]/tblPersoneel[[#This Row],[uitbetalings deel]])/ tblPersoneel[[#This Row],[uren per week]],"")</f>
        <v/>
      </c>
      <c r="R51" s="29"/>
      <c r="S51" s="31"/>
      <c r="T51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51" s="29"/>
      <c r="V51" s="61"/>
      <c r="W51" s="66"/>
      <c r="X51" s="29"/>
      <c r="Y51" s="31"/>
      <c r="Z51" s="31"/>
      <c r="AA51" s="32">
        <f>_xlfn.XLOOKUP(tblPersoneel[[#This Row],[Leeftijd]],tblLeeftijdPercentage[leeftijd],tblLeeftijdPercentage[percentage],0,0)</f>
        <v>0</v>
      </c>
      <c r="AB51" s="32" t="e">
        <f>VLOOKUP(tblPersoneel[[#This Row],[Uitbetalings periode]],UitbetaalPeriode[],2,FALSE)</f>
        <v>#N/A</v>
      </c>
      <c r="AC51" s="32" t="e">
        <f>VLOOKUP(tblPersoneel[[#This Row],[Uitbetalings periode]],UitbetaalPeriode[],3,FALSE)</f>
        <v>#N/A</v>
      </c>
    </row>
    <row r="52" spans="1:29" x14ac:dyDescent="0.25">
      <c r="A52" s="27"/>
      <c r="B52" s="27"/>
      <c r="C52" s="27"/>
      <c r="D52" s="28"/>
      <c r="E52" s="12"/>
      <c r="F52" s="12"/>
      <c r="G52" s="20"/>
      <c r="H52" s="13"/>
      <c r="I52" s="14"/>
      <c r="J52" s="29"/>
      <c r="K52" s="31" t="str">
        <f>IFERROR((tblPersoneel[[#This Row],[Betaald Loon Nov 2023]]/tblPersoneel[[#This Row],[uitbetalings deel]])/ tblPersoneel[[#This Row],[uren per week]],"")</f>
        <v/>
      </c>
      <c r="L52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52" s="29"/>
      <c r="N52" s="61"/>
      <c r="O52" s="30"/>
      <c r="P52" s="29">
        <f>IF(tblPersoneel[[#This Row],[Functienaam]]="",,IF(tblPersoneel[[#This Row],[Betaald Loon Nov 2023]]&gt;$D$9,tblPersoneel[[#This Row],[Betaald Loon Nov 2023]],$D$9))</f>
        <v>0</v>
      </c>
      <c r="Q52" s="31" t="str">
        <f>IFERROR((tblPersoneel[[#This Row],[Betaald Loon 01 2026]]/tblPersoneel[[#This Row],[uitbetalings deel]])/ tblPersoneel[[#This Row],[uren per week]],"")</f>
        <v/>
      </c>
      <c r="R52" s="29"/>
      <c r="S52" s="31"/>
      <c r="T52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52" s="29"/>
      <c r="V52" s="61"/>
      <c r="W52" s="66"/>
      <c r="X52" s="29"/>
      <c r="Y52" s="31"/>
      <c r="Z52" s="31"/>
      <c r="AA52" s="32">
        <f>_xlfn.XLOOKUP(tblPersoneel[[#This Row],[Leeftijd]],tblLeeftijdPercentage[leeftijd],tblLeeftijdPercentage[percentage],0,0)</f>
        <v>0</v>
      </c>
      <c r="AB52" s="32" t="e">
        <f>VLOOKUP(tblPersoneel[[#This Row],[Uitbetalings periode]],UitbetaalPeriode[],2,FALSE)</f>
        <v>#N/A</v>
      </c>
      <c r="AC52" s="32" t="e">
        <f>VLOOKUP(tblPersoneel[[#This Row],[Uitbetalings periode]],UitbetaalPeriode[],3,FALSE)</f>
        <v>#N/A</v>
      </c>
    </row>
    <row r="53" spans="1:29" x14ac:dyDescent="0.25">
      <c r="A53" s="27"/>
      <c r="B53" s="27"/>
      <c r="C53" s="27"/>
      <c r="D53" s="28"/>
      <c r="E53" s="12"/>
      <c r="F53" s="12"/>
      <c r="G53" s="20"/>
      <c r="H53" s="13"/>
      <c r="I53" s="14"/>
      <c r="J53" s="29"/>
      <c r="K53" s="31" t="str">
        <f>IFERROR((tblPersoneel[[#This Row],[Betaald Loon Nov 2023]]/tblPersoneel[[#This Row],[uitbetalings deel]])/ tblPersoneel[[#This Row],[uren per week]],"")</f>
        <v/>
      </c>
      <c r="L53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53" s="29"/>
      <c r="N53" s="61"/>
      <c r="O53" s="30"/>
      <c r="P53" s="29">
        <f>IF(tblPersoneel[[#This Row],[Functienaam]]="",,IF(tblPersoneel[[#This Row],[Betaald Loon Nov 2023]]&gt;$D$9,tblPersoneel[[#This Row],[Betaald Loon Nov 2023]],$D$9))</f>
        <v>0</v>
      </c>
      <c r="Q53" s="31" t="str">
        <f>IFERROR((tblPersoneel[[#This Row],[Betaald Loon 01 2026]]/tblPersoneel[[#This Row],[uitbetalings deel]])/ tblPersoneel[[#This Row],[uren per week]],"")</f>
        <v/>
      </c>
      <c r="R53" s="29"/>
      <c r="S53" s="31"/>
      <c r="T53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53" s="29"/>
      <c r="V53" s="61"/>
      <c r="W53" s="66"/>
      <c r="X53" s="29"/>
      <c r="Y53" s="31"/>
      <c r="Z53" s="31"/>
      <c r="AA53" s="32">
        <f>_xlfn.XLOOKUP(tblPersoneel[[#This Row],[Leeftijd]],tblLeeftijdPercentage[leeftijd],tblLeeftijdPercentage[percentage],0,0)</f>
        <v>0</v>
      </c>
      <c r="AB53" s="32" t="e">
        <f>VLOOKUP(tblPersoneel[[#This Row],[Uitbetalings periode]],UitbetaalPeriode[],2,FALSE)</f>
        <v>#N/A</v>
      </c>
      <c r="AC53" s="32" t="e">
        <f>VLOOKUP(tblPersoneel[[#This Row],[Uitbetalings periode]],UitbetaalPeriode[],3,FALSE)</f>
        <v>#N/A</v>
      </c>
    </row>
    <row r="54" spans="1:29" x14ac:dyDescent="0.25">
      <c r="A54" s="27"/>
      <c r="B54" s="27"/>
      <c r="C54" s="27"/>
      <c r="D54" s="28"/>
      <c r="E54" s="12"/>
      <c r="F54" s="12"/>
      <c r="G54" s="20"/>
      <c r="H54" s="13"/>
      <c r="I54" s="14"/>
      <c r="J54" s="29"/>
      <c r="K54" s="31" t="str">
        <f>IFERROR((tblPersoneel[[#This Row],[Betaald Loon Nov 2023]]/tblPersoneel[[#This Row],[uitbetalings deel]])/ tblPersoneel[[#This Row],[uren per week]],"")</f>
        <v/>
      </c>
      <c r="L54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54" s="29"/>
      <c r="N54" s="61"/>
      <c r="O54" s="30"/>
      <c r="P54" s="29">
        <f>IF(tblPersoneel[[#This Row],[Functienaam]]="",,IF(tblPersoneel[[#This Row],[Betaald Loon Nov 2023]]&gt;$D$9,tblPersoneel[[#This Row],[Betaald Loon Nov 2023]],$D$9))</f>
        <v>0</v>
      </c>
      <c r="Q54" s="31" t="str">
        <f>IFERROR((tblPersoneel[[#This Row],[Betaald Loon 01 2026]]/tblPersoneel[[#This Row],[uitbetalings deel]])/ tblPersoneel[[#This Row],[uren per week]],"")</f>
        <v/>
      </c>
      <c r="R54" s="29"/>
      <c r="S54" s="31"/>
      <c r="T54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54" s="29"/>
      <c r="V54" s="61"/>
      <c r="W54" s="66"/>
      <c r="X54" s="29"/>
      <c r="Y54" s="31"/>
      <c r="Z54" s="31"/>
      <c r="AA54" s="32">
        <f>_xlfn.XLOOKUP(tblPersoneel[[#This Row],[Leeftijd]],tblLeeftijdPercentage[leeftijd],tblLeeftijdPercentage[percentage],0,0)</f>
        <v>0</v>
      </c>
      <c r="AB54" s="32" t="e">
        <f>VLOOKUP(tblPersoneel[[#This Row],[Uitbetalings periode]],UitbetaalPeriode[],2,FALSE)</f>
        <v>#N/A</v>
      </c>
      <c r="AC54" s="32" t="e">
        <f>VLOOKUP(tblPersoneel[[#This Row],[Uitbetalings periode]],UitbetaalPeriode[],3,FALSE)</f>
        <v>#N/A</v>
      </c>
    </row>
    <row r="55" spans="1:29" x14ac:dyDescent="0.25">
      <c r="A55" s="27"/>
      <c r="B55" s="27"/>
      <c r="C55" s="27"/>
      <c r="D55" s="28"/>
      <c r="E55" s="12"/>
      <c r="F55" s="12"/>
      <c r="G55" s="20"/>
      <c r="H55" s="13"/>
      <c r="I55" s="14"/>
      <c r="J55" s="29"/>
      <c r="K55" s="31" t="str">
        <f>IFERROR((tblPersoneel[[#This Row],[Betaald Loon Nov 2023]]/tblPersoneel[[#This Row],[uitbetalings deel]])/ tblPersoneel[[#This Row],[uren per week]],"")</f>
        <v/>
      </c>
      <c r="L55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55" s="29"/>
      <c r="N55" s="61"/>
      <c r="O55" s="30"/>
      <c r="P55" s="29">
        <f>IF(tblPersoneel[[#This Row],[Functienaam]]="",,IF(tblPersoneel[[#This Row],[Betaald Loon Nov 2023]]&gt;$D$9,tblPersoneel[[#This Row],[Betaald Loon Nov 2023]],$D$9))</f>
        <v>0</v>
      </c>
      <c r="Q55" s="31" t="str">
        <f>IFERROR((tblPersoneel[[#This Row],[Betaald Loon 01 2026]]/tblPersoneel[[#This Row],[uitbetalings deel]])/ tblPersoneel[[#This Row],[uren per week]],"")</f>
        <v/>
      </c>
      <c r="R55" s="29"/>
      <c r="S55" s="31"/>
      <c r="T55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55" s="29"/>
      <c r="V55" s="61"/>
      <c r="W55" s="66"/>
      <c r="X55" s="29"/>
      <c r="Y55" s="31"/>
      <c r="Z55" s="31"/>
      <c r="AA55" s="32">
        <f>_xlfn.XLOOKUP(tblPersoneel[[#This Row],[Leeftijd]],tblLeeftijdPercentage[leeftijd],tblLeeftijdPercentage[percentage],0,0)</f>
        <v>0</v>
      </c>
      <c r="AB55" s="32" t="e">
        <f>VLOOKUP(tblPersoneel[[#This Row],[Uitbetalings periode]],UitbetaalPeriode[],2,FALSE)</f>
        <v>#N/A</v>
      </c>
      <c r="AC55" s="32" t="e">
        <f>VLOOKUP(tblPersoneel[[#This Row],[Uitbetalings periode]],UitbetaalPeriode[],3,FALSE)</f>
        <v>#N/A</v>
      </c>
    </row>
    <row r="56" spans="1:29" x14ac:dyDescent="0.25">
      <c r="A56" s="27"/>
      <c r="B56" s="27"/>
      <c r="C56" s="27"/>
      <c r="D56" s="28"/>
      <c r="E56" s="12"/>
      <c r="F56" s="12"/>
      <c r="G56" s="20"/>
      <c r="H56" s="13"/>
      <c r="I56" s="14"/>
      <c r="J56" s="29"/>
      <c r="K56" s="31" t="str">
        <f>IFERROR((tblPersoneel[[#This Row],[Betaald Loon Nov 2023]]/tblPersoneel[[#This Row],[uitbetalings deel]])/ tblPersoneel[[#This Row],[uren per week]],"")</f>
        <v/>
      </c>
      <c r="L56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56" s="29"/>
      <c r="N56" s="61"/>
      <c r="O56" s="30"/>
      <c r="P56" s="29">
        <f>IF(tblPersoneel[[#This Row],[Functienaam]]="",,IF(tblPersoneel[[#This Row],[Betaald Loon Nov 2023]]&gt;$D$9,tblPersoneel[[#This Row],[Betaald Loon Nov 2023]],$D$9))</f>
        <v>0</v>
      </c>
      <c r="Q56" s="31" t="str">
        <f>IFERROR((tblPersoneel[[#This Row],[Betaald Loon 01 2026]]/tblPersoneel[[#This Row],[uitbetalings deel]])/ tblPersoneel[[#This Row],[uren per week]],"")</f>
        <v/>
      </c>
      <c r="R56" s="29"/>
      <c r="S56" s="31"/>
      <c r="T56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56" s="29"/>
      <c r="V56" s="61"/>
      <c r="W56" s="66"/>
      <c r="X56" s="29"/>
      <c r="Y56" s="31"/>
      <c r="Z56" s="31"/>
      <c r="AA56" s="32">
        <f>_xlfn.XLOOKUP(tblPersoneel[[#This Row],[Leeftijd]],tblLeeftijdPercentage[leeftijd],tblLeeftijdPercentage[percentage],0,0)</f>
        <v>0</v>
      </c>
      <c r="AB56" s="32" t="e">
        <f>VLOOKUP(tblPersoneel[[#This Row],[Uitbetalings periode]],UitbetaalPeriode[],2,FALSE)</f>
        <v>#N/A</v>
      </c>
      <c r="AC56" s="32" t="e">
        <f>VLOOKUP(tblPersoneel[[#This Row],[Uitbetalings periode]],UitbetaalPeriode[],3,FALSE)</f>
        <v>#N/A</v>
      </c>
    </row>
    <row r="57" spans="1:29" x14ac:dyDescent="0.25">
      <c r="A57" s="27"/>
      <c r="B57" s="27"/>
      <c r="C57" s="27"/>
      <c r="D57" s="28"/>
      <c r="E57" s="12"/>
      <c r="F57" s="12"/>
      <c r="G57" s="20"/>
      <c r="H57" s="13"/>
      <c r="I57" s="14"/>
      <c r="J57" s="29"/>
      <c r="K57" s="31" t="str">
        <f>IFERROR((tblPersoneel[[#This Row],[Betaald Loon Nov 2023]]/tblPersoneel[[#This Row],[uitbetalings deel]])/ tblPersoneel[[#This Row],[uren per week]],"")</f>
        <v/>
      </c>
      <c r="L57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57" s="29"/>
      <c r="N57" s="61"/>
      <c r="O57" s="30"/>
      <c r="P57" s="29">
        <f>IF(tblPersoneel[[#This Row],[Functienaam]]="",,IF(tblPersoneel[[#This Row],[Betaald Loon Nov 2023]]&gt;$D$9,tblPersoneel[[#This Row],[Betaald Loon Nov 2023]],$D$9))</f>
        <v>0</v>
      </c>
      <c r="Q57" s="31" t="str">
        <f>IFERROR((tblPersoneel[[#This Row],[Betaald Loon 01 2026]]/tblPersoneel[[#This Row],[uitbetalings deel]])/ tblPersoneel[[#This Row],[uren per week]],"")</f>
        <v/>
      </c>
      <c r="R57" s="29"/>
      <c r="S57" s="31"/>
      <c r="T57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57" s="29"/>
      <c r="V57" s="61"/>
      <c r="W57" s="66"/>
      <c r="X57" s="29"/>
      <c r="Y57" s="31"/>
      <c r="Z57" s="31"/>
      <c r="AA57" s="32">
        <f>_xlfn.XLOOKUP(tblPersoneel[[#This Row],[Leeftijd]],tblLeeftijdPercentage[leeftijd],tblLeeftijdPercentage[percentage],0,0)</f>
        <v>0</v>
      </c>
      <c r="AB57" s="32" t="e">
        <f>VLOOKUP(tblPersoneel[[#This Row],[Uitbetalings periode]],UitbetaalPeriode[],2,FALSE)</f>
        <v>#N/A</v>
      </c>
      <c r="AC57" s="32" t="e">
        <f>VLOOKUP(tblPersoneel[[#This Row],[Uitbetalings periode]],UitbetaalPeriode[],3,FALSE)</f>
        <v>#N/A</v>
      </c>
    </row>
    <row r="58" spans="1:29" x14ac:dyDescent="0.25">
      <c r="A58" s="27"/>
      <c r="B58" s="27"/>
      <c r="C58" s="27"/>
      <c r="D58" s="28"/>
      <c r="E58" s="12"/>
      <c r="F58" s="12"/>
      <c r="G58" s="20"/>
      <c r="H58" s="13"/>
      <c r="I58" s="14"/>
      <c r="J58" s="29"/>
      <c r="K58" s="31" t="str">
        <f>IFERROR((tblPersoneel[[#This Row],[Betaald Loon Nov 2023]]/tblPersoneel[[#This Row],[uitbetalings deel]])/ tblPersoneel[[#This Row],[uren per week]],"")</f>
        <v/>
      </c>
      <c r="L58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58" s="29"/>
      <c r="N58" s="61"/>
      <c r="O58" s="30"/>
      <c r="P58" s="29">
        <f>IF(tblPersoneel[[#This Row],[Functienaam]]="",,IF(tblPersoneel[[#This Row],[Betaald Loon Nov 2023]]&gt;$D$9,tblPersoneel[[#This Row],[Betaald Loon Nov 2023]],$D$9))</f>
        <v>0</v>
      </c>
      <c r="Q58" s="31" t="str">
        <f>IFERROR((tblPersoneel[[#This Row],[Betaald Loon 01 2026]]/tblPersoneel[[#This Row],[uitbetalings deel]])/ tblPersoneel[[#This Row],[uren per week]],"")</f>
        <v/>
      </c>
      <c r="R58" s="29"/>
      <c r="S58" s="31"/>
      <c r="T58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58" s="29"/>
      <c r="V58" s="61"/>
      <c r="W58" s="66"/>
      <c r="X58" s="29"/>
      <c r="Y58" s="31"/>
      <c r="Z58" s="31"/>
      <c r="AA58" s="32">
        <f>_xlfn.XLOOKUP(tblPersoneel[[#This Row],[Leeftijd]],tblLeeftijdPercentage[leeftijd],tblLeeftijdPercentage[percentage],0,0)</f>
        <v>0</v>
      </c>
      <c r="AB58" s="32" t="e">
        <f>VLOOKUP(tblPersoneel[[#This Row],[Uitbetalings periode]],UitbetaalPeriode[],2,FALSE)</f>
        <v>#N/A</v>
      </c>
      <c r="AC58" s="32" t="e">
        <f>VLOOKUP(tblPersoneel[[#This Row],[Uitbetalings periode]],UitbetaalPeriode[],3,FALSE)</f>
        <v>#N/A</v>
      </c>
    </row>
    <row r="59" spans="1:29" x14ac:dyDescent="0.25">
      <c r="A59" s="27"/>
      <c r="B59" s="27"/>
      <c r="C59" s="27"/>
      <c r="D59" s="28"/>
      <c r="E59" s="12"/>
      <c r="F59" s="12"/>
      <c r="G59" s="20"/>
      <c r="H59" s="13"/>
      <c r="I59" s="14"/>
      <c r="J59" s="29"/>
      <c r="K59" s="31" t="str">
        <f>IFERROR((tblPersoneel[[#This Row],[Betaald Loon Nov 2023]]/tblPersoneel[[#This Row],[uitbetalings deel]])/ tblPersoneel[[#This Row],[uren per week]],"")</f>
        <v/>
      </c>
      <c r="L59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59" s="29"/>
      <c r="N59" s="61"/>
      <c r="O59" s="30"/>
      <c r="P59" s="29">
        <f>IF(tblPersoneel[[#This Row],[Functienaam]]="",,IF(tblPersoneel[[#This Row],[Betaald Loon Nov 2023]]&gt;$D$9,tblPersoneel[[#This Row],[Betaald Loon Nov 2023]],$D$9))</f>
        <v>0</v>
      </c>
      <c r="Q59" s="31" t="str">
        <f>IFERROR((tblPersoneel[[#This Row],[Betaald Loon 01 2026]]/tblPersoneel[[#This Row],[uitbetalings deel]])/ tblPersoneel[[#This Row],[uren per week]],"")</f>
        <v/>
      </c>
      <c r="R59" s="29"/>
      <c r="S59" s="31"/>
      <c r="T59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59" s="29"/>
      <c r="V59" s="61"/>
      <c r="W59" s="66"/>
      <c r="X59" s="29"/>
      <c r="Y59" s="31"/>
      <c r="Z59" s="31"/>
      <c r="AA59" s="32">
        <f>_xlfn.XLOOKUP(tblPersoneel[[#This Row],[Leeftijd]],tblLeeftijdPercentage[leeftijd],tblLeeftijdPercentage[percentage],0,0)</f>
        <v>0</v>
      </c>
      <c r="AB59" s="32" t="e">
        <f>VLOOKUP(tblPersoneel[[#This Row],[Uitbetalings periode]],UitbetaalPeriode[],2,FALSE)</f>
        <v>#N/A</v>
      </c>
      <c r="AC59" s="32" t="e">
        <f>VLOOKUP(tblPersoneel[[#This Row],[Uitbetalings periode]],UitbetaalPeriode[],3,FALSE)</f>
        <v>#N/A</v>
      </c>
    </row>
    <row r="60" spans="1:29" x14ac:dyDescent="0.25">
      <c r="A60" s="27"/>
      <c r="B60" s="27"/>
      <c r="C60" s="27"/>
      <c r="D60" s="28"/>
      <c r="E60" s="12"/>
      <c r="F60" s="12"/>
      <c r="G60" s="20"/>
      <c r="H60" s="13"/>
      <c r="I60" s="14"/>
      <c r="J60" s="29"/>
      <c r="K60" s="31" t="str">
        <f>IFERROR((tblPersoneel[[#This Row],[Betaald Loon Nov 2023]]/tblPersoneel[[#This Row],[uitbetalings deel]])/ tblPersoneel[[#This Row],[uren per week]],"")</f>
        <v/>
      </c>
      <c r="L60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60" s="29"/>
      <c r="N60" s="61"/>
      <c r="O60" s="30"/>
      <c r="P60" s="29">
        <f>IF(tblPersoneel[[#This Row],[Functienaam]]="",,IF(tblPersoneel[[#This Row],[Betaald Loon Nov 2023]]&gt;$D$9,tblPersoneel[[#This Row],[Betaald Loon Nov 2023]],$D$9))</f>
        <v>0</v>
      </c>
      <c r="Q60" s="31" t="str">
        <f>IFERROR((tblPersoneel[[#This Row],[Betaald Loon 01 2026]]/tblPersoneel[[#This Row],[uitbetalings deel]])/ tblPersoneel[[#This Row],[uren per week]],"")</f>
        <v/>
      </c>
      <c r="R60" s="29"/>
      <c r="S60" s="31"/>
      <c r="T60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60" s="29"/>
      <c r="V60" s="61"/>
      <c r="W60" s="66"/>
      <c r="X60" s="29"/>
      <c r="Y60" s="31"/>
      <c r="Z60" s="31"/>
      <c r="AA60" s="32">
        <f>_xlfn.XLOOKUP(tblPersoneel[[#This Row],[Leeftijd]],tblLeeftijdPercentage[leeftijd],tblLeeftijdPercentage[percentage],0,0)</f>
        <v>0</v>
      </c>
      <c r="AB60" s="32" t="e">
        <f>VLOOKUP(tblPersoneel[[#This Row],[Uitbetalings periode]],UitbetaalPeriode[],2,FALSE)</f>
        <v>#N/A</v>
      </c>
      <c r="AC60" s="32" t="e">
        <f>VLOOKUP(tblPersoneel[[#This Row],[Uitbetalings periode]],UitbetaalPeriode[],3,FALSE)</f>
        <v>#N/A</v>
      </c>
    </row>
    <row r="61" spans="1:29" x14ac:dyDescent="0.25">
      <c r="A61" s="27"/>
      <c r="B61" s="27"/>
      <c r="C61" s="27"/>
      <c r="D61" s="28"/>
      <c r="E61" s="12"/>
      <c r="F61" s="12"/>
      <c r="G61" s="20"/>
      <c r="H61" s="13"/>
      <c r="I61" s="14"/>
      <c r="J61" s="29"/>
      <c r="K61" s="31" t="str">
        <f>IFERROR((tblPersoneel[[#This Row],[Betaald Loon Nov 2023]]/tblPersoneel[[#This Row],[uitbetalings deel]])/ tblPersoneel[[#This Row],[uren per week]],"")</f>
        <v/>
      </c>
      <c r="L61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61" s="29"/>
      <c r="N61" s="61"/>
      <c r="O61" s="30"/>
      <c r="P61" s="29">
        <f>IF(tblPersoneel[[#This Row],[Functienaam]]="",,IF(tblPersoneel[[#This Row],[Betaald Loon Nov 2023]]&gt;$D$9,tblPersoneel[[#This Row],[Betaald Loon Nov 2023]],$D$9))</f>
        <v>0</v>
      </c>
      <c r="Q61" s="31" t="str">
        <f>IFERROR((tblPersoneel[[#This Row],[Betaald Loon 01 2026]]/tblPersoneel[[#This Row],[uitbetalings deel]])/ tblPersoneel[[#This Row],[uren per week]],"")</f>
        <v/>
      </c>
      <c r="R61" s="29"/>
      <c r="S61" s="31"/>
      <c r="T61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61" s="29"/>
      <c r="V61" s="61"/>
      <c r="W61" s="66"/>
      <c r="X61" s="29"/>
      <c r="Y61" s="31"/>
      <c r="Z61" s="31"/>
      <c r="AA61" s="32">
        <f>_xlfn.XLOOKUP(tblPersoneel[[#This Row],[Leeftijd]],tblLeeftijdPercentage[leeftijd],tblLeeftijdPercentage[percentage],0,0)</f>
        <v>0</v>
      </c>
      <c r="AB61" s="32" t="e">
        <f>VLOOKUP(tblPersoneel[[#This Row],[Uitbetalings periode]],UitbetaalPeriode[],2,FALSE)</f>
        <v>#N/A</v>
      </c>
      <c r="AC61" s="32" t="e">
        <f>VLOOKUP(tblPersoneel[[#This Row],[Uitbetalings periode]],UitbetaalPeriode[],3,FALSE)</f>
        <v>#N/A</v>
      </c>
    </row>
    <row r="62" spans="1:29" x14ac:dyDescent="0.25">
      <c r="A62" s="27"/>
      <c r="B62" s="27"/>
      <c r="C62" s="27"/>
      <c r="D62" s="28"/>
      <c r="E62" s="12"/>
      <c r="F62" s="12"/>
      <c r="G62" s="20"/>
      <c r="H62" s="13"/>
      <c r="I62" s="14"/>
      <c r="J62" s="29"/>
      <c r="K62" s="31" t="str">
        <f>IFERROR((tblPersoneel[[#This Row],[Betaald Loon Nov 2023]]/tblPersoneel[[#This Row],[uitbetalings deel]])/ tblPersoneel[[#This Row],[uren per week]],"")</f>
        <v/>
      </c>
      <c r="L62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62" s="29"/>
      <c r="N62" s="61"/>
      <c r="O62" s="30"/>
      <c r="P62" s="29">
        <f>IF(tblPersoneel[[#This Row],[Functienaam]]="",,IF(tblPersoneel[[#This Row],[Betaald Loon Nov 2023]]&gt;$D$9,tblPersoneel[[#This Row],[Betaald Loon Nov 2023]],$D$9))</f>
        <v>0</v>
      </c>
      <c r="Q62" s="31" t="str">
        <f>IFERROR((tblPersoneel[[#This Row],[Betaald Loon 01 2026]]/tblPersoneel[[#This Row],[uitbetalings deel]])/ tblPersoneel[[#This Row],[uren per week]],"")</f>
        <v/>
      </c>
      <c r="R62" s="29"/>
      <c r="S62" s="31"/>
      <c r="T62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62" s="29"/>
      <c r="V62" s="61"/>
      <c r="W62" s="66"/>
      <c r="X62" s="29"/>
      <c r="Y62" s="31"/>
      <c r="Z62" s="31"/>
      <c r="AA62" s="32">
        <f>_xlfn.XLOOKUP(tblPersoneel[[#This Row],[Leeftijd]],tblLeeftijdPercentage[leeftijd],tblLeeftijdPercentage[percentage],0,0)</f>
        <v>0</v>
      </c>
      <c r="AB62" s="32" t="e">
        <f>VLOOKUP(tblPersoneel[[#This Row],[Uitbetalings periode]],UitbetaalPeriode[],2,FALSE)</f>
        <v>#N/A</v>
      </c>
      <c r="AC62" s="32" t="e">
        <f>VLOOKUP(tblPersoneel[[#This Row],[Uitbetalings periode]],UitbetaalPeriode[],3,FALSE)</f>
        <v>#N/A</v>
      </c>
    </row>
    <row r="63" spans="1:29" x14ac:dyDescent="0.25">
      <c r="A63" s="27"/>
      <c r="B63" s="27"/>
      <c r="C63" s="27"/>
      <c r="D63" s="28"/>
      <c r="E63" s="12"/>
      <c r="F63" s="12"/>
      <c r="G63" s="20"/>
      <c r="H63" s="13"/>
      <c r="I63" s="14"/>
      <c r="J63" s="29"/>
      <c r="K63" s="31" t="str">
        <f>IFERROR((tblPersoneel[[#This Row],[Betaald Loon Nov 2023]]/tblPersoneel[[#This Row],[uitbetalings deel]])/ tblPersoneel[[#This Row],[uren per week]],"")</f>
        <v/>
      </c>
      <c r="L63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63" s="29"/>
      <c r="N63" s="61"/>
      <c r="O63" s="30"/>
      <c r="P63" s="29">
        <f>IF(tblPersoneel[[#This Row],[Functienaam]]="",,IF(tblPersoneel[[#This Row],[Betaald Loon Nov 2023]]&gt;$D$9,tblPersoneel[[#This Row],[Betaald Loon Nov 2023]],$D$9))</f>
        <v>0</v>
      </c>
      <c r="Q63" s="31" t="str">
        <f>IFERROR((tblPersoneel[[#This Row],[Betaald Loon 01 2026]]/tblPersoneel[[#This Row],[uitbetalings deel]])/ tblPersoneel[[#This Row],[uren per week]],"")</f>
        <v/>
      </c>
      <c r="R63" s="29"/>
      <c r="S63" s="31"/>
      <c r="T63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63" s="29"/>
      <c r="V63" s="61"/>
      <c r="W63" s="66"/>
      <c r="X63" s="29"/>
      <c r="Y63" s="31"/>
      <c r="Z63" s="31"/>
      <c r="AA63" s="32">
        <f>_xlfn.XLOOKUP(tblPersoneel[[#This Row],[Leeftijd]],tblLeeftijdPercentage[leeftijd],tblLeeftijdPercentage[percentage],0,0)</f>
        <v>0</v>
      </c>
      <c r="AB63" s="32" t="e">
        <f>VLOOKUP(tblPersoneel[[#This Row],[Uitbetalings periode]],UitbetaalPeriode[],2,FALSE)</f>
        <v>#N/A</v>
      </c>
      <c r="AC63" s="32" t="e">
        <f>VLOOKUP(tblPersoneel[[#This Row],[Uitbetalings periode]],UitbetaalPeriode[],3,FALSE)</f>
        <v>#N/A</v>
      </c>
    </row>
    <row r="64" spans="1:29" x14ac:dyDescent="0.25">
      <c r="A64" s="27"/>
      <c r="B64" s="27"/>
      <c r="C64" s="27"/>
      <c r="D64" s="28"/>
      <c r="E64" s="12"/>
      <c r="F64" s="12"/>
      <c r="G64" s="20"/>
      <c r="H64" s="13"/>
      <c r="I64" s="14"/>
      <c r="J64" s="29"/>
      <c r="K64" s="31" t="str">
        <f>IFERROR((tblPersoneel[[#This Row],[Betaald Loon Nov 2023]]/tblPersoneel[[#This Row],[uitbetalings deel]])/ tblPersoneel[[#This Row],[uren per week]],"")</f>
        <v/>
      </c>
      <c r="L64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64" s="29"/>
      <c r="N64" s="61"/>
      <c r="O64" s="30"/>
      <c r="P64" s="29">
        <f>IF(tblPersoneel[[#This Row],[Functienaam]]="",,IF(tblPersoneel[[#This Row],[Betaald Loon Nov 2023]]&gt;$D$9,tblPersoneel[[#This Row],[Betaald Loon Nov 2023]],$D$9))</f>
        <v>0</v>
      </c>
      <c r="Q64" s="31" t="str">
        <f>IFERROR((tblPersoneel[[#This Row],[Betaald Loon 01 2026]]/tblPersoneel[[#This Row],[uitbetalings deel]])/ tblPersoneel[[#This Row],[uren per week]],"")</f>
        <v/>
      </c>
      <c r="R64" s="29"/>
      <c r="S64" s="31"/>
      <c r="T64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64" s="29"/>
      <c r="V64" s="61"/>
      <c r="W64" s="66"/>
      <c r="X64" s="29"/>
      <c r="Y64" s="31"/>
      <c r="Z64" s="31"/>
      <c r="AA64" s="32">
        <f>_xlfn.XLOOKUP(tblPersoneel[[#This Row],[Leeftijd]],tblLeeftijdPercentage[leeftijd],tblLeeftijdPercentage[percentage],0,0)</f>
        <v>0</v>
      </c>
      <c r="AB64" s="32" t="e">
        <f>VLOOKUP(tblPersoneel[[#This Row],[Uitbetalings periode]],UitbetaalPeriode[],2,FALSE)</f>
        <v>#N/A</v>
      </c>
      <c r="AC64" s="32" t="e">
        <f>VLOOKUP(tblPersoneel[[#This Row],[Uitbetalings periode]],UitbetaalPeriode[],3,FALSE)</f>
        <v>#N/A</v>
      </c>
    </row>
    <row r="65" spans="1:29" x14ac:dyDescent="0.25">
      <c r="A65" s="27"/>
      <c r="B65" s="27"/>
      <c r="C65" s="27"/>
      <c r="D65" s="28"/>
      <c r="E65" s="12"/>
      <c r="F65" s="12"/>
      <c r="G65" s="20"/>
      <c r="H65" s="13"/>
      <c r="I65" s="14"/>
      <c r="J65" s="29"/>
      <c r="K65" s="31" t="str">
        <f>IFERROR((tblPersoneel[[#This Row],[Betaald Loon Nov 2023]]/tblPersoneel[[#This Row],[uitbetalings deel]])/ tblPersoneel[[#This Row],[uren per week]],"")</f>
        <v/>
      </c>
      <c r="L65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65" s="29"/>
      <c r="N65" s="61"/>
      <c r="O65" s="30"/>
      <c r="P65" s="29">
        <f>IF(tblPersoneel[[#This Row],[Functienaam]]="",,IF(tblPersoneel[[#This Row],[Betaald Loon Nov 2023]]&gt;$D$9,tblPersoneel[[#This Row],[Betaald Loon Nov 2023]],$D$9))</f>
        <v>0</v>
      </c>
      <c r="Q65" s="31" t="str">
        <f>IFERROR((tblPersoneel[[#This Row],[Betaald Loon 01 2026]]/tblPersoneel[[#This Row],[uitbetalings deel]])/ tblPersoneel[[#This Row],[uren per week]],"")</f>
        <v/>
      </c>
      <c r="R65" s="29"/>
      <c r="S65" s="31"/>
      <c r="T65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65" s="29"/>
      <c r="V65" s="61"/>
      <c r="W65" s="66"/>
      <c r="X65" s="29"/>
      <c r="Y65" s="31"/>
      <c r="Z65" s="31"/>
      <c r="AA65" s="32">
        <f>_xlfn.XLOOKUP(tblPersoneel[[#This Row],[Leeftijd]],tblLeeftijdPercentage[leeftijd],tblLeeftijdPercentage[percentage],0,0)</f>
        <v>0</v>
      </c>
      <c r="AB65" s="32" t="e">
        <f>VLOOKUP(tblPersoneel[[#This Row],[Uitbetalings periode]],UitbetaalPeriode[],2,FALSE)</f>
        <v>#N/A</v>
      </c>
      <c r="AC65" s="32" t="e">
        <f>VLOOKUP(tblPersoneel[[#This Row],[Uitbetalings periode]],UitbetaalPeriode[],3,FALSE)</f>
        <v>#N/A</v>
      </c>
    </row>
    <row r="66" spans="1:29" x14ac:dyDescent="0.25">
      <c r="A66" s="27"/>
      <c r="B66" s="27"/>
      <c r="C66" s="27"/>
      <c r="D66" s="28"/>
      <c r="E66" s="12"/>
      <c r="F66" s="12"/>
      <c r="G66" s="20"/>
      <c r="H66" s="13"/>
      <c r="I66" s="14"/>
      <c r="J66" s="29"/>
      <c r="K66" s="31" t="str">
        <f>IFERROR((tblPersoneel[[#This Row],[Betaald Loon Nov 2023]]/tblPersoneel[[#This Row],[uitbetalings deel]])/ tblPersoneel[[#This Row],[uren per week]],"")</f>
        <v/>
      </c>
      <c r="L66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66" s="29"/>
      <c r="N66" s="61"/>
      <c r="O66" s="30"/>
      <c r="P66" s="29">
        <f>IF(tblPersoneel[[#This Row],[Functienaam]]="",,IF(tblPersoneel[[#This Row],[Betaald Loon Nov 2023]]&gt;$D$9,tblPersoneel[[#This Row],[Betaald Loon Nov 2023]],$D$9))</f>
        <v>0</v>
      </c>
      <c r="Q66" s="31" t="str">
        <f>IFERROR((tblPersoneel[[#This Row],[Betaald Loon 01 2026]]/tblPersoneel[[#This Row],[uitbetalings deel]])/ tblPersoneel[[#This Row],[uren per week]],"")</f>
        <v/>
      </c>
      <c r="R66" s="29"/>
      <c r="S66" s="31"/>
      <c r="T66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66" s="29"/>
      <c r="V66" s="61"/>
      <c r="W66" s="66"/>
      <c r="X66" s="29"/>
      <c r="Y66" s="31"/>
      <c r="Z66" s="31"/>
      <c r="AA66" s="32">
        <f>_xlfn.XLOOKUP(tblPersoneel[[#This Row],[Leeftijd]],tblLeeftijdPercentage[leeftijd],tblLeeftijdPercentage[percentage],0,0)</f>
        <v>0</v>
      </c>
      <c r="AB66" s="32" t="e">
        <f>VLOOKUP(tblPersoneel[[#This Row],[Uitbetalings periode]],UitbetaalPeriode[],2,FALSE)</f>
        <v>#N/A</v>
      </c>
      <c r="AC66" s="32" t="e">
        <f>VLOOKUP(tblPersoneel[[#This Row],[Uitbetalings periode]],UitbetaalPeriode[],3,FALSE)</f>
        <v>#N/A</v>
      </c>
    </row>
    <row r="67" spans="1:29" x14ac:dyDescent="0.25">
      <c r="A67" s="27"/>
      <c r="B67" s="27"/>
      <c r="C67" s="27"/>
      <c r="D67" s="28"/>
      <c r="E67" s="12"/>
      <c r="F67" s="12"/>
      <c r="G67" s="20"/>
      <c r="H67" s="13"/>
      <c r="I67" s="14"/>
      <c r="J67" s="29"/>
      <c r="K67" s="31" t="str">
        <f>IFERROR((tblPersoneel[[#This Row],[Betaald Loon Nov 2023]]/tblPersoneel[[#This Row],[uitbetalings deel]])/ tblPersoneel[[#This Row],[uren per week]],"")</f>
        <v/>
      </c>
      <c r="L67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67" s="29"/>
      <c r="N67" s="61"/>
      <c r="O67" s="30"/>
      <c r="P67" s="29">
        <f>IF(tblPersoneel[[#This Row],[Functienaam]]="",,IF(tblPersoneel[[#This Row],[Betaald Loon Nov 2023]]&gt;$D$9,tblPersoneel[[#This Row],[Betaald Loon Nov 2023]],$D$9))</f>
        <v>0</v>
      </c>
      <c r="Q67" s="31" t="str">
        <f>IFERROR((tblPersoneel[[#This Row],[Betaald Loon 01 2026]]/tblPersoneel[[#This Row],[uitbetalings deel]])/ tblPersoneel[[#This Row],[uren per week]],"")</f>
        <v/>
      </c>
      <c r="R67" s="29"/>
      <c r="S67" s="31"/>
      <c r="T67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67" s="29"/>
      <c r="V67" s="61"/>
      <c r="W67" s="66"/>
      <c r="X67" s="29"/>
      <c r="Y67" s="31"/>
      <c r="Z67" s="31"/>
      <c r="AA67" s="32">
        <f>_xlfn.XLOOKUP(tblPersoneel[[#This Row],[Leeftijd]],tblLeeftijdPercentage[leeftijd],tblLeeftijdPercentage[percentage],0,0)</f>
        <v>0</v>
      </c>
      <c r="AB67" s="32" t="e">
        <f>VLOOKUP(tblPersoneel[[#This Row],[Uitbetalings periode]],UitbetaalPeriode[],2,FALSE)</f>
        <v>#N/A</v>
      </c>
      <c r="AC67" s="32" t="e">
        <f>VLOOKUP(tblPersoneel[[#This Row],[Uitbetalings periode]],UitbetaalPeriode[],3,FALSE)</f>
        <v>#N/A</v>
      </c>
    </row>
    <row r="68" spans="1:29" x14ac:dyDescent="0.25">
      <c r="A68" s="27"/>
      <c r="B68" s="27"/>
      <c r="C68" s="27"/>
      <c r="D68" s="28"/>
      <c r="E68" s="12"/>
      <c r="F68" s="12"/>
      <c r="G68" s="20"/>
      <c r="H68" s="13"/>
      <c r="I68" s="14"/>
      <c r="J68" s="29"/>
      <c r="K68" s="31" t="str">
        <f>IFERROR((tblPersoneel[[#This Row],[Betaald Loon Nov 2023]]/tblPersoneel[[#This Row],[uitbetalings deel]])/ tblPersoneel[[#This Row],[uren per week]],"")</f>
        <v/>
      </c>
      <c r="L68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68" s="29"/>
      <c r="N68" s="61"/>
      <c r="O68" s="30"/>
      <c r="P68" s="29">
        <f>IF(tblPersoneel[[#This Row],[Functienaam]]="",,IF(tblPersoneel[[#This Row],[Betaald Loon Nov 2023]]&gt;$D$9,tblPersoneel[[#This Row],[Betaald Loon Nov 2023]],$D$9))</f>
        <v>0</v>
      </c>
      <c r="Q68" s="31" t="str">
        <f>IFERROR((tblPersoneel[[#This Row],[Betaald Loon 01 2026]]/tblPersoneel[[#This Row],[uitbetalings deel]])/ tblPersoneel[[#This Row],[uren per week]],"")</f>
        <v/>
      </c>
      <c r="R68" s="29"/>
      <c r="S68" s="31"/>
      <c r="T68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68" s="29"/>
      <c r="V68" s="61"/>
      <c r="W68" s="66"/>
      <c r="X68" s="29"/>
      <c r="Y68" s="31"/>
      <c r="Z68" s="31"/>
      <c r="AA68" s="32">
        <f>_xlfn.XLOOKUP(tblPersoneel[[#This Row],[Leeftijd]],tblLeeftijdPercentage[leeftijd],tblLeeftijdPercentage[percentage],0,0)</f>
        <v>0</v>
      </c>
      <c r="AB68" s="32" t="e">
        <f>VLOOKUP(tblPersoneel[[#This Row],[Uitbetalings periode]],UitbetaalPeriode[],2,FALSE)</f>
        <v>#N/A</v>
      </c>
      <c r="AC68" s="32" t="e">
        <f>VLOOKUP(tblPersoneel[[#This Row],[Uitbetalings periode]],UitbetaalPeriode[],3,FALSE)</f>
        <v>#N/A</v>
      </c>
    </row>
    <row r="69" spans="1:29" x14ac:dyDescent="0.25">
      <c r="A69" s="27"/>
      <c r="B69" s="27"/>
      <c r="C69" s="27"/>
      <c r="D69" s="28"/>
      <c r="E69" s="12"/>
      <c r="F69" s="12"/>
      <c r="G69" s="20"/>
      <c r="H69" s="13"/>
      <c r="I69" s="14"/>
      <c r="J69" s="29"/>
      <c r="K69" s="31" t="str">
        <f>IFERROR((tblPersoneel[[#This Row],[Betaald Loon Nov 2023]]/tblPersoneel[[#This Row],[uitbetalings deel]])/ tblPersoneel[[#This Row],[uren per week]],"")</f>
        <v/>
      </c>
      <c r="L69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69" s="29"/>
      <c r="N69" s="61"/>
      <c r="O69" s="30"/>
      <c r="P69" s="29">
        <f>IF(tblPersoneel[[#This Row],[Functienaam]]="",,IF(tblPersoneel[[#This Row],[Betaald Loon Nov 2023]]&gt;$D$9,tblPersoneel[[#This Row],[Betaald Loon Nov 2023]],$D$9))</f>
        <v>0</v>
      </c>
      <c r="Q69" s="31" t="str">
        <f>IFERROR((tblPersoneel[[#This Row],[Betaald Loon 01 2026]]/tblPersoneel[[#This Row],[uitbetalings deel]])/ tblPersoneel[[#This Row],[uren per week]],"")</f>
        <v/>
      </c>
      <c r="R69" s="29"/>
      <c r="S69" s="31"/>
      <c r="T69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69" s="29"/>
      <c r="V69" s="61"/>
      <c r="W69" s="66"/>
      <c r="X69" s="29"/>
      <c r="Y69" s="31"/>
      <c r="Z69" s="31"/>
      <c r="AA69" s="32">
        <f>_xlfn.XLOOKUP(tblPersoneel[[#This Row],[Leeftijd]],tblLeeftijdPercentage[leeftijd],tblLeeftijdPercentage[percentage],0,0)</f>
        <v>0</v>
      </c>
      <c r="AB69" s="32" t="e">
        <f>VLOOKUP(tblPersoneel[[#This Row],[Uitbetalings periode]],UitbetaalPeriode[],2,FALSE)</f>
        <v>#N/A</v>
      </c>
      <c r="AC69" s="32" t="e">
        <f>VLOOKUP(tblPersoneel[[#This Row],[Uitbetalings periode]],UitbetaalPeriode[],3,FALSE)</f>
        <v>#N/A</v>
      </c>
    </row>
    <row r="70" spans="1:29" x14ac:dyDescent="0.25">
      <c r="A70" s="27"/>
      <c r="B70" s="27"/>
      <c r="C70" s="27"/>
      <c r="D70" s="28"/>
      <c r="E70" s="12"/>
      <c r="F70" s="12"/>
      <c r="G70" s="20"/>
      <c r="H70" s="13"/>
      <c r="I70" s="14"/>
      <c r="J70" s="29"/>
      <c r="K70" s="31" t="str">
        <f>IFERROR((tblPersoneel[[#This Row],[Betaald Loon Nov 2023]]/tblPersoneel[[#This Row],[uitbetalings deel]])/ tblPersoneel[[#This Row],[uren per week]],"")</f>
        <v/>
      </c>
      <c r="L70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70" s="29"/>
      <c r="N70" s="61"/>
      <c r="O70" s="30"/>
      <c r="P70" s="29">
        <f>IF(tblPersoneel[[#This Row],[Functienaam]]="",,IF(tblPersoneel[[#This Row],[Betaald Loon Nov 2023]]&gt;$D$9,tblPersoneel[[#This Row],[Betaald Loon Nov 2023]],$D$9))</f>
        <v>0</v>
      </c>
      <c r="Q70" s="31" t="str">
        <f>IFERROR((tblPersoneel[[#This Row],[Betaald Loon 01 2026]]/tblPersoneel[[#This Row],[uitbetalings deel]])/ tblPersoneel[[#This Row],[uren per week]],"")</f>
        <v/>
      </c>
      <c r="R70" s="29"/>
      <c r="S70" s="31"/>
      <c r="T70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70" s="29"/>
      <c r="V70" s="61"/>
      <c r="W70" s="66"/>
      <c r="X70" s="29"/>
      <c r="Y70" s="31"/>
      <c r="Z70" s="31"/>
      <c r="AA70" s="32">
        <f>_xlfn.XLOOKUP(tblPersoneel[[#This Row],[Leeftijd]],tblLeeftijdPercentage[leeftijd],tblLeeftijdPercentage[percentage],0,0)</f>
        <v>0</v>
      </c>
      <c r="AB70" s="32" t="e">
        <f>VLOOKUP(tblPersoneel[[#This Row],[Uitbetalings periode]],UitbetaalPeriode[],2,FALSE)</f>
        <v>#N/A</v>
      </c>
      <c r="AC70" s="32" t="e">
        <f>VLOOKUP(tblPersoneel[[#This Row],[Uitbetalings periode]],UitbetaalPeriode[],3,FALSE)</f>
        <v>#N/A</v>
      </c>
    </row>
    <row r="71" spans="1:29" x14ac:dyDescent="0.25">
      <c r="A71" s="27"/>
      <c r="B71" s="27"/>
      <c r="C71" s="27"/>
      <c r="D71" s="28"/>
      <c r="E71" s="12"/>
      <c r="F71" s="12"/>
      <c r="G71" s="20"/>
      <c r="H71" s="13"/>
      <c r="I71" s="14"/>
      <c r="J71" s="29"/>
      <c r="K71" s="31" t="str">
        <f>IFERROR((tblPersoneel[[#This Row],[Betaald Loon Nov 2023]]/tblPersoneel[[#This Row],[uitbetalings deel]])/ tblPersoneel[[#This Row],[uren per week]],"")</f>
        <v/>
      </c>
      <c r="L71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71" s="29"/>
      <c r="N71" s="61"/>
      <c r="O71" s="30"/>
      <c r="P71" s="29">
        <f>IF(tblPersoneel[[#This Row],[Functienaam]]="",,IF(tblPersoneel[[#This Row],[Betaald Loon Nov 2023]]&gt;$D$9,tblPersoneel[[#This Row],[Betaald Loon Nov 2023]],$D$9))</f>
        <v>0</v>
      </c>
      <c r="Q71" s="31" t="str">
        <f>IFERROR((tblPersoneel[[#This Row],[Betaald Loon 01 2026]]/tblPersoneel[[#This Row],[uitbetalings deel]])/ tblPersoneel[[#This Row],[uren per week]],"")</f>
        <v/>
      </c>
      <c r="R71" s="29"/>
      <c r="S71" s="31"/>
      <c r="T71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71" s="29"/>
      <c r="V71" s="61"/>
      <c r="W71" s="66"/>
      <c r="X71" s="29"/>
      <c r="Y71" s="31"/>
      <c r="Z71" s="31"/>
      <c r="AA71" s="32">
        <f>_xlfn.XLOOKUP(tblPersoneel[[#This Row],[Leeftijd]],tblLeeftijdPercentage[leeftijd],tblLeeftijdPercentage[percentage],0,0)</f>
        <v>0</v>
      </c>
      <c r="AB71" s="32" t="e">
        <f>VLOOKUP(tblPersoneel[[#This Row],[Uitbetalings periode]],UitbetaalPeriode[],2,FALSE)</f>
        <v>#N/A</v>
      </c>
      <c r="AC71" s="32" t="e">
        <f>VLOOKUP(tblPersoneel[[#This Row],[Uitbetalings periode]],UitbetaalPeriode[],3,FALSE)</f>
        <v>#N/A</v>
      </c>
    </row>
    <row r="72" spans="1:29" x14ac:dyDescent="0.25">
      <c r="A72" s="27"/>
      <c r="B72" s="27"/>
      <c r="C72" s="27"/>
      <c r="D72" s="28"/>
      <c r="E72" s="12"/>
      <c r="F72" s="12"/>
      <c r="G72" s="20"/>
      <c r="H72" s="13"/>
      <c r="I72" s="14"/>
      <c r="J72" s="29"/>
      <c r="K72" s="31" t="str">
        <f>IFERROR((tblPersoneel[[#This Row],[Betaald Loon Nov 2023]]/tblPersoneel[[#This Row],[uitbetalings deel]])/ tblPersoneel[[#This Row],[uren per week]],"")</f>
        <v/>
      </c>
      <c r="L72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72" s="29"/>
      <c r="N72" s="61"/>
      <c r="O72" s="30"/>
      <c r="P72" s="29">
        <f>IF(tblPersoneel[[#This Row],[Functienaam]]="",,IF(tblPersoneel[[#This Row],[Betaald Loon Nov 2023]]&gt;$D$9,tblPersoneel[[#This Row],[Betaald Loon Nov 2023]],$D$9))</f>
        <v>0</v>
      </c>
      <c r="Q72" s="31" t="str">
        <f>IFERROR((tblPersoneel[[#This Row],[Betaald Loon 01 2026]]/tblPersoneel[[#This Row],[uitbetalings deel]])/ tblPersoneel[[#This Row],[uren per week]],"")</f>
        <v/>
      </c>
      <c r="R72" s="29"/>
      <c r="S72" s="31"/>
      <c r="T72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72" s="29"/>
      <c r="V72" s="61"/>
      <c r="W72" s="66"/>
      <c r="X72" s="29"/>
      <c r="Y72" s="31"/>
      <c r="Z72" s="31"/>
      <c r="AA72" s="32">
        <f>_xlfn.XLOOKUP(tblPersoneel[[#This Row],[Leeftijd]],tblLeeftijdPercentage[leeftijd],tblLeeftijdPercentage[percentage],0,0)</f>
        <v>0</v>
      </c>
      <c r="AB72" s="32" t="e">
        <f>VLOOKUP(tblPersoneel[[#This Row],[Uitbetalings periode]],UitbetaalPeriode[],2,FALSE)</f>
        <v>#N/A</v>
      </c>
      <c r="AC72" s="32" t="e">
        <f>VLOOKUP(tblPersoneel[[#This Row],[Uitbetalings periode]],UitbetaalPeriode[],3,FALSE)</f>
        <v>#N/A</v>
      </c>
    </row>
    <row r="73" spans="1:29" x14ac:dyDescent="0.25">
      <c r="A73" s="27"/>
      <c r="B73" s="27"/>
      <c r="C73" s="27"/>
      <c r="D73" s="28"/>
      <c r="E73" s="12"/>
      <c r="F73" s="12"/>
      <c r="G73" s="20"/>
      <c r="H73" s="13"/>
      <c r="I73" s="14"/>
      <c r="J73" s="29"/>
      <c r="K73" s="31" t="str">
        <f>IFERROR((tblPersoneel[[#This Row],[Betaald Loon Nov 2023]]/tblPersoneel[[#This Row],[uitbetalings deel]])/ tblPersoneel[[#This Row],[uren per week]],"")</f>
        <v/>
      </c>
      <c r="L73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73" s="29"/>
      <c r="N73" s="61"/>
      <c r="O73" s="30"/>
      <c r="P73" s="29">
        <f>IF(tblPersoneel[[#This Row],[Functienaam]]="",,IF(tblPersoneel[[#This Row],[Betaald Loon Nov 2023]]&gt;$D$9,tblPersoneel[[#This Row],[Betaald Loon Nov 2023]],$D$9))</f>
        <v>0</v>
      </c>
      <c r="Q73" s="31" t="str">
        <f>IFERROR((tblPersoneel[[#This Row],[Betaald Loon 01 2026]]/tblPersoneel[[#This Row],[uitbetalings deel]])/ tblPersoneel[[#This Row],[uren per week]],"")</f>
        <v/>
      </c>
      <c r="R73" s="29"/>
      <c r="S73" s="31"/>
      <c r="T73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73" s="29"/>
      <c r="V73" s="61"/>
      <c r="W73" s="66"/>
      <c r="X73" s="29"/>
      <c r="Y73" s="31"/>
      <c r="Z73" s="31"/>
      <c r="AA73" s="32">
        <f>_xlfn.XLOOKUP(tblPersoneel[[#This Row],[Leeftijd]],tblLeeftijdPercentage[leeftijd],tblLeeftijdPercentage[percentage],0,0)</f>
        <v>0</v>
      </c>
      <c r="AB73" s="32" t="e">
        <f>VLOOKUP(tblPersoneel[[#This Row],[Uitbetalings periode]],UitbetaalPeriode[],2,FALSE)</f>
        <v>#N/A</v>
      </c>
      <c r="AC73" s="32" t="e">
        <f>VLOOKUP(tblPersoneel[[#This Row],[Uitbetalings periode]],UitbetaalPeriode[],3,FALSE)</f>
        <v>#N/A</v>
      </c>
    </row>
    <row r="74" spans="1:29" x14ac:dyDescent="0.25">
      <c r="A74" s="27"/>
      <c r="B74" s="27"/>
      <c r="C74" s="27"/>
      <c r="D74" s="28"/>
      <c r="E74" s="12"/>
      <c r="F74" s="12"/>
      <c r="G74" s="20"/>
      <c r="H74" s="13"/>
      <c r="I74" s="14"/>
      <c r="J74" s="29"/>
      <c r="K74" s="31" t="str">
        <f>IFERROR((tblPersoneel[[#This Row],[Betaald Loon Nov 2023]]/tblPersoneel[[#This Row],[uitbetalings deel]])/ tblPersoneel[[#This Row],[uren per week]],"")</f>
        <v/>
      </c>
      <c r="L74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74" s="29"/>
      <c r="N74" s="61"/>
      <c r="O74" s="30"/>
      <c r="P74" s="29">
        <f>IF(tblPersoneel[[#This Row],[Functienaam]]="",,IF(tblPersoneel[[#This Row],[Betaald Loon Nov 2023]]&gt;$D$9,tblPersoneel[[#This Row],[Betaald Loon Nov 2023]],$D$9))</f>
        <v>0</v>
      </c>
      <c r="Q74" s="31" t="str">
        <f>IFERROR((tblPersoneel[[#This Row],[Betaald Loon 01 2026]]/tblPersoneel[[#This Row],[uitbetalings deel]])/ tblPersoneel[[#This Row],[uren per week]],"")</f>
        <v/>
      </c>
      <c r="R74" s="29"/>
      <c r="S74" s="31"/>
      <c r="T74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74" s="29"/>
      <c r="V74" s="61"/>
      <c r="W74" s="66"/>
      <c r="X74" s="29"/>
      <c r="Y74" s="31"/>
      <c r="Z74" s="31"/>
      <c r="AA74" s="32">
        <f>_xlfn.XLOOKUP(tblPersoneel[[#This Row],[Leeftijd]],tblLeeftijdPercentage[leeftijd],tblLeeftijdPercentage[percentage],0,0)</f>
        <v>0</v>
      </c>
      <c r="AB74" s="32" t="e">
        <f>VLOOKUP(tblPersoneel[[#This Row],[Uitbetalings periode]],UitbetaalPeriode[],2,FALSE)</f>
        <v>#N/A</v>
      </c>
      <c r="AC74" s="32" t="e">
        <f>VLOOKUP(tblPersoneel[[#This Row],[Uitbetalings periode]],UitbetaalPeriode[],3,FALSE)</f>
        <v>#N/A</v>
      </c>
    </row>
    <row r="75" spans="1:29" x14ac:dyDescent="0.25">
      <c r="A75" s="27"/>
      <c r="B75" s="27"/>
      <c r="C75" s="27"/>
      <c r="D75" s="28"/>
      <c r="E75" s="12"/>
      <c r="F75" s="12"/>
      <c r="G75" s="20"/>
      <c r="H75" s="13"/>
      <c r="I75" s="14"/>
      <c r="J75" s="29"/>
      <c r="K75" s="31" t="str">
        <f>IFERROR((tblPersoneel[[#This Row],[Betaald Loon Nov 2023]]/tblPersoneel[[#This Row],[uitbetalings deel]])/ tblPersoneel[[#This Row],[uren per week]],"")</f>
        <v/>
      </c>
      <c r="L75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75" s="29"/>
      <c r="N75" s="61"/>
      <c r="O75" s="30"/>
      <c r="P75" s="29">
        <f>IF(tblPersoneel[[#This Row],[Functienaam]]="",,IF(tblPersoneel[[#This Row],[Betaald Loon Nov 2023]]&gt;$D$9,tblPersoneel[[#This Row],[Betaald Loon Nov 2023]],$D$9))</f>
        <v>0</v>
      </c>
      <c r="Q75" s="31" t="str">
        <f>IFERROR((tblPersoneel[[#This Row],[Betaald Loon 01 2026]]/tblPersoneel[[#This Row],[uitbetalings deel]])/ tblPersoneel[[#This Row],[uren per week]],"")</f>
        <v/>
      </c>
      <c r="R75" s="29"/>
      <c r="S75" s="31"/>
      <c r="T75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75" s="29"/>
      <c r="V75" s="61"/>
      <c r="W75" s="66"/>
      <c r="X75" s="29"/>
      <c r="Y75" s="31"/>
      <c r="Z75" s="31"/>
      <c r="AA75" s="32">
        <f>_xlfn.XLOOKUP(tblPersoneel[[#This Row],[Leeftijd]],tblLeeftijdPercentage[leeftijd],tblLeeftijdPercentage[percentage],0,0)</f>
        <v>0</v>
      </c>
      <c r="AB75" s="32" t="e">
        <f>VLOOKUP(tblPersoneel[[#This Row],[Uitbetalings periode]],UitbetaalPeriode[],2,FALSE)</f>
        <v>#N/A</v>
      </c>
      <c r="AC75" s="32" t="e">
        <f>VLOOKUP(tblPersoneel[[#This Row],[Uitbetalings periode]],UitbetaalPeriode[],3,FALSE)</f>
        <v>#N/A</v>
      </c>
    </row>
    <row r="76" spans="1:29" x14ac:dyDescent="0.25">
      <c r="A76" s="27"/>
      <c r="B76" s="27"/>
      <c r="C76" s="27"/>
      <c r="D76" s="28"/>
      <c r="E76" s="12"/>
      <c r="F76" s="12"/>
      <c r="G76" s="20"/>
      <c r="H76" s="13"/>
      <c r="I76" s="14"/>
      <c r="J76" s="29"/>
      <c r="K76" s="31" t="str">
        <f>IFERROR((tblPersoneel[[#This Row],[Betaald Loon Nov 2023]]/tblPersoneel[[#This Row],[uitbetalings deel]])/ tblPersoneel[[#This Row],[uren per week]],"")</f>
        <v/>
      </c>
      <c r="L76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76" s="29"/>
      <c r="N76" s="61"/>
      <c r="O76" s="30"/>
      <c r="P76" s="29">
        <f>IF(tblPersoneel[[#This Row],[Functienaam]]="",,IF(tblPersoneel[[#This Row],[Betaald Loon Nov 2023]]&gt;$D$9,tblPersoneel[[#This Row],[Betaald Loon Nov 2023]],$D$9))</f>
        <v>0</v>
      </c>
      <c r="Q76" s="31" t="str">
        <f>IFERROR((tblPersoneel[[#This Row],[Betaald Loon 01 2026]]/tblPersoneel[[#This Row],[uitbetalings deel]])/ tblPersoneel[[#This Row],[uren per week]],"")</f>
        <v/>
      </c>
      <c r="R76" s="29"/>
      <c r="S76" s="31"/>
      <c r="T76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76" s="29"/>
      <c r="V76" s="61"/>
      <c r="W76" s="66"/>
      <c r="X76" s="29"/>
      <c r="Y76" s="31"/>
      <c r="Z76" s="31"/>
      <c r="AA76" s="32">
        <f>_xlfn.XLOOKUP(tblPersoneel[[#This Row],[Leeftijd]],tblLeeftijdPercentage[leeftijd],tblLeeftijdPercentage[percentage],0,0)</f>
        <v>0</v>
      </c>
      <c r="AB76" s="32" t="e">
        <f>VLOOKUP(tblPersoneel[[#This Row],[Uitbetalings periode]],UitbetaalPeriode[],2,FALSE)</f>
        <v>#N/A</v>
      </c>
      <c r="AC76" s="32" t="e">
        <f>VLOOKUP(tblPersoneel[[#This Row],[Uitbetalings periode]],UitbetaalPeriode[],3,FALSE)</f>
        <v>#N/A</v>
      </c>
    </row>
    <row r="77" spans="1:29" x14ac:dyDescent="0.25">
      <c r="A77" s="27"/>
      <c r="B77" s="27"/>
      <c r="C77" s="27"/>
      <c r="D77" s="28"/>
      <c r="E77" s="12"/>
      <c r="F77" s="12"/>
      <c r="G77" s="20"/>
      <c r="H77" s="13"/>
      <c r="I77" s="14"/>
      <c r="J77" s="29"/>
      <c r="K77" s="31" t="str">
        <f>IFERROR((tblPersoneel[[#This Row],[Betaald Loon Nov 2023]]/tblPersoneel[[#This Row],[uitbetalings deel]])/ tblPersoneel[[#This Row],[uren per week]],"")</f>
        <v/>
      </c>
      <c r="L77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77" s="29"/>
      <c r="N77" s="61"/>
      <c r="O77" s="30"/>
      <c r="P77" s="29">
        <f>IF(tblPersoneel[[#This Row],[Functienaam]]="",,IF(tblPersoneel[[#This Row],[Betaald Loon Nov 2023]]&gt;$D$9,tblPersoneel[[#This Row],[Betaald Loon Nov 2023]],$D$9))</f>
        <v>0</v>
      </c>
      <c r="Q77" s="31" t="str">
        <f>IFERROR((tblPersoneel[[#This Row],[Betaald Loon 01 2026]]/tblPersoneel[[#This Row],[uitbetalings deel]])/ tblPersoneel[[#This Row],[uren per week]],"")</f>
        <v/>
      </c>
      <c r="R77" s="29"/>
      <c r="S77" s="31"/>
      <c r="T77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77" s="29"/>
      <c r="V77" s="61"/>
      <c r="W77" s="66"/>
      <c r="X77" s="29"/>
      <c r="Y77" s="31"/>
      <c r="Z77" s="31"/>
      <c r="AA77" s="32">
        <f>_xlfn.XLOOKUP(tblPersoneel[[#This Row],[Leeftijd]],tblLeeftijdPercentage[leeftijd],tblLeeftijdPercentage[percentage],0,0)</f>
        <v>0</v>
      </c>
      <c r="AB77" s="32" t="e">
        <f>VLOOKUP(tblPersoneel[[#This Row],[Uitbetalings periode]],UitbetaalPeriode[],2,FALSE)</f>
        <v>#N/A</v>
      </c>
      <c r="AC77" s="32" t="e">
        <f>VLOOKUP(tblPersoneel[[#This Row],[Uitbetalings periode]],UitbetaalPeriode[],3,FALSE)</f>
        <v>#N/A</v>
      </c>
    </row>
    <row r="78" spans="1:29" x14ac:dyDescent="0.25">
      <c r="A78" s="27"/>
      <c r="B78" s="27"/>
      <c r="C78" s="27"/>
      <c r="D78" s="28"/>
      <c r="E78" s="12"/>
      <c r="F78" s="12"/>
      <c r="G78" s="20"/>
      <c r="H78" s="13"/>
      <c r="I78" s="14"/>
      <c r="J78" s="29"/>
      <c r="K78" s="31" t="str">
        <f>IFERROR((tblPersoneel[[#This Row],[Betaald Loon Nov 2023]]/tblPersoneel[[#This Row],[uitbetalings deel]])/ tblPersoneel[[#This Row],[uren per week]],"")</f>
        <v/>
      </c>
      <c r="L78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78" s="29"/>
      <c r="N78" s="61"/>
      <c r="O78" s="30"/>
      <c r="P78" s="29">
        <f>IF(tblPersoneel[[#This Row],[Functienaam]]="",,IF(tblPersoneel[[#This Row],[Betaald Loon Nov 2023]]&gt;$D$9,tblPersoneel[[#This Row],[Betaald Loon Nov 2023]],$D$9))</f>
        <v>0</v>
      </c>
      <c r="Q78" s="31" t="str">
        <f>IFERROR((tblPersoneel[[#This Row],[Betaald Loon 01 2026]]/tblPersoneel[[#This Row],[uitbetalings deel]])/ tblPersoneel[[#This Row],[uren per week]],"")</f>
        <v/>
      </c>
      <c r="R78" s="29"/>
      <c r="S78" s="31"/>
      <c r="T78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78" s="29"/>
      <c r="V78" s="61"/>
      <c r="W78" s="66"/>
      <c r="X78" s="29"/>
      <c r="Y78" s="31"/>
      <c r="Z78" s="31"/>
      <c r="AA78" s="32">
        <f>_xlfn.XLOOKUP(tblPersoneel[[#This Row],[Leeftijd]],tblLeeftijdPercentage[leeftijd],tblLeeftijdPercentage[percentage],0,0)</f>
        <v>0</v>
      </c>
      <c r="AB78" s="32" t="e">
        <f>VLOOKUP(tblPersoneel[[#This Row],[Uitbetalings periode]],UitbetaalPeriode[],2,FALSE)</f>
        <v>#N/A</v>
      </c>
      <c r="AC78" s="32" t="e">
        <f>VLOOKUP(tblPersoneel[[#This Row],[Uitbetalings periode]],UitbetaalPeriode[],3,FALSE)</f>
        <v>#N/A</v>
      </c>
    </row>
    <row r="79" spans="1:29" x14ac:dyDescent="0.25">
      <c r="A79" s="27"/>
      <c r="B79" s="27"/>
      <c r="C79" s="27"/>
      <c r="D79" s="28"/>
      <c r="E79" s="12"/>
      <c r="F79" s="12"/>
      <c r="G79" s="20"/>
      <c r="H79" s="13"/>
      <c r="I79" s="14"/>
      <c r="J79" s="29"/>
      <c r="K79" s="31" t="str">
        <f>IFERROR((tblPersoneel[[#This Row],[Betaald Loon Nov 2023]]/tblPersoneel[[#This Row],[uitbetalings deel]])/ tblPersoneel[[#This Row],[uren per week]],"")</f>
        <v/>
      </c>
      <c r="L79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79" s="29"/>
      <c r="N79" s="61"/>
      <c r="O79" s="30"/>
      <c r="P79" s="29">
        <f>IF(tblPersoneel[[#This Row],[Functienaam]]="",,IF(tblPersoneel[[#This Row],[Betaald Loon Nov 2023]]&gt;$D$9,tblPersoneel[[#This Row],[Betaald Loon Nov 2023]],$D$9))</f>
        <v>0</v>
      </c>
      <c r="Q79" s="31" t="str">
        <f>IFERROR((tblPersoneel[[#This Row],[Betaald Loon 01 2026]]/tblPersoneel[[#This Row],[uitbetalings deel]])/ tblPersoneel[[#This Row],[uren per week]],"")</f>
        <v/>
      </c>
      <c r="R79" s="29"/>
      <c r="S79" s="31"/>
      <c r="T79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79" s="29"/>
      <c r="V79" s="61"/>
      <c r="W79" s="66"/>
      <c r="X79" s="29"/>
      <c r="Y79" s="31"/>
      <c r="Z79" s="31"/>
      <c r="AA79" s="32">
        <f>_xlfn.XLOOKUP(tblPersoneel[[#This Row],[Leeftijd]],tblLeeftijdPercentage[leeftijd],tblLeeftijdPercentage[percentage],0,0)</f>
        <v>0</v>
      </c>
      <c r="AB79" s="32" t="e">
        <f>VLOOKUP(tblPersoneel[[#This Row],[Uitbetalings periode]],UitbetaalPeriode[],2,FALSE)</f>
        <v>#N/A</v>
      </c>
      <c r="AC79" s="32" t="e">
        <f>VLOOKUP(tblPersoneel[[#This Row],[Uitbetalings periode]],UitbetaalPeriode[],3,FALSE)</f>
        <v>#N/A</v>
      </c>
    </row>
    <row r="80" spans="1:29" x14ac:dyDescent="0.25">
      <c r="A80" s="27"/>
      <c r="B80" s="27"/>
      <c r="C80" s="27"/>
      <c r="D80" s="28"/>
      <c r="E80" s="12"/>
      <c r="F80" s="12"/>
      <c r="G80" s="20"/>
      <c r="H80" s="13"/>
      <c r="I80" s="14"/>
      <c r="J80" s="29"/>
      <c r="K80" s="31" t="str">
        <f>IFERROR((tblPersoneel[[#This Row],[Betaald Loon Nov 2023]]/tblPersoneel[[#This Row],[uitbetalings deel]])/ tblPersoneel[[#This Row],[uren per week]],"")</f>
        <v/>
      </c>
      <c r="L80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80" s="29"/>
      <c r="N80" s="61"/>
      <c r="O80" s="30"/>
      <c r="P80" s="29">
        <f>IF(tblPersoneel[[#This Row],[Functienaam]]="",,IF(tblPersoneel[[#This Row],[Betaald Loon Nov 2023]]&gt;$D$9,tblPersoneel[[#This Row],[Betaald Loon Nov 2023]],$D$9))</f>
        <v>0</v>
      </c>
      <c r="Q80" s="31" t="str">
        <f>IFERROR((tblPersoneel[[#This Row],[Betaald Loon 01 2026]]/tblPersoneel[[#This Row],[uitbetalings deel]])/ tblPersoneel[[#This Row],[uren per week]],"")</f>
        <v/>
      </c>
      <c r="R80" s="29"/>
      <c r="S80" s="31"/>
      <c r="T80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80" s="29"/>
      <c r="V80" s="61"/>
      <c r="W80" s="66"/>
      <c r="X80" s="29"/>
      <c r="Y80" s="31"/>
      <c r="Z80" s="31"/>
      <c r="AA80" s="32">
        <f>_xlfn.XLOOKUP(tblPersoneel[[#This Row],[Leeftijd]],tblLeeftijdPercentage[leeftijd],tblLeeftijdPercentage[percentage],0,0)</f>
        <v>0</v>
      </c>
      <c r="AB80" s="32" t="e">
        <f>VLOOKUP(tblPersoneel[[#This Row],[Uitbetalings periode]],UitbetaalPeriode[],2,FALSE)</f>
        <v>#N/A</v>
      </c>
      <c r="AC80" s="32" t="e">
        <f>VLOOKUP(tblPersoneel[[#This Row],[Uitbetalings periode]],UitbetaalPeriode[],3,FALSE)</f>
        <v>#N/A</v>
      </c>
    </row>
    <row r="81" spans="1:29" x14ac:dyDescent="0.25">
      <c r="A81" s="27"/>
      <c r="B81" s="27"/>
      <c r="C81" s="27"/>
      <c r="D81" s="28"/>
      <c r="E81" s="12"/>
      <c r="F81" s="12"/>
      <c r="G81" s="20"/>
      <c r="H81" s="13"/>
      <c r="I81" s="14"/>
      <c r="J81" s="29"/>
      <c r="K81" s="31" t="str">
        <f>IFERROR((tblPersoneel[[#This Row],[Betaald Loon Nov 2023]]/tblPersoneel[[#This Row],[uitbetalings deel]])/ tblPersoneel[[#This Row],[uren per week]],"")</f>
        <v/>
      </c>
      <c r="L81" s="31">
        <f>_xlfn.IFNA(IF(tblPersoneel[[#This Row],[Uitbetalings periode]]="Uurloon",(1 + IF(tblPersoneel[[#This Row],[13de maand 2023]]="Ja",DertiendeMaand,0) + tblPersoneel[[#This Row],[vakantie 2023]])*tblPersoneel[[#This Row],[uren per week]]*tblPersoneel[[#This Row],[Ber  uurloon 11-23 ( $7.13)]]*4.3333 + tblPersoneel[[#This Row],[Gratificatie 2023]],tblPersoneel[[#This Row],[aantal uitbetalingen]]*tblPersoneel[[#This Row],[Betaald Loon Nov 2023]]+IF(tblPersoneel[[#This Row],[13de maand 2023]]="Ja",DertiendeMaand*tblPersoneel[[#This Row],[aantal uitbetalingen]]*tblPersoneel[[#This Row],[Betaald Loon Nov 2023]],0)+tblPersoneel[[#This Row],[aantal uitbetalingen]]*tblPersoneel[[#This Row],[Betaald Loon Nov 2023]]*tblPersoneel[[#This Row],[vakantie 2023]]+tblPersoneel[[#This Row],[Gratificatie 2023]]),0)</f>
        <v>0</v>
      </c>
      <c r="M81" s="29"/>
      <c r="N81" s="61"/>
      <c r="O81" s="30"/>
      <c r="P81" s="29">
        <f>IF(tblPersoneel[[#This Row],[Functienaam]]="",,IF(tblPersoneel[[#This Row],[Betaald Loon Nov 2023]]&gt;$D$9,tblPersoneel[[#This Row],[Betaald Loon Nov 2023]],$D$9))</f>
        <v>0</v>
      </c>
      <c r="Q81" s="31" t="str">
        <f>IFERROR((tblPersoneel[[#This Row],[Betaald Loon 01 2026]]/tblPersoneel[[#This Row],[uitbetalings deel]])/ tblPersoneel[[#This Row],[uren per week]],"")</f>
        <v/>
      </c>
      <c r="R81" s="29"/>
      <c r="S81" s="31"/>
      <c r="T81" s="31">
        <f>_xlfn.IFNA(IF(tblPersoneel[[#This Row],[Uitbetalings periode]]="Uurloon",(1 + IF(tblPersoneel[[#This Row],[13de maand 2026]]="Ja",DertiendeMaand,0) + tblPersoneel[[#This Row],[Vakantie 2026]])*tblPersoneel[[#This Row],[uren per week]]*tblPersoneel[[#This Row],[Ber Uurloon 01-26]]*4.3333 + tblPersoneel[[#This Row],[Gratificatie 2026]],tblPersoneel[[#This Row],[aantal uitbetalingen]]*tblPersoneel[[#This Row],[Betaald Loon 01 2026]]+IF(tblPersoneel[[#This Row],[13de maand 2026]]="Ja",DertiendeMaand*tblPersoneel[[#This Row],[aantal uitbetalingen]]*tblPersoneel[[#This Row],[Betaald Loon 01 2026]],0)+tblPersoneel[[#This Row],[aantal uitbetalingen]]*tblPersoneel[[#This Row],[Betaald Loon 01 2026]]*tblPersoneel[[#This Row],[Vakantie 2026]]+tblPersoneel[[#This Row],[Gratificatie 2026]]),0)</f>
        <v>0</v>
      </c>
      <c r="U81" s="29"/>
      <c r="V81" s="61"/>
      <c r="W81" s="66"/>
      <c r="X81" s="29"/>
      <c r="Y81" s="31"/>
      <c r="Z81" s="31"/>
      <c r="AA81" s="32">
        <f>_xlfn.XLOOKUP(tblPersoneel[[#This Row],[Leeftijd]],tblLeeftijdPercentage[leeftijd],tblLeeftijdPercentage[percentage],0,0)</f>
        <v>0</v>
      </c>
      <c r="AB81" s="32" t="e">
        <f>VLOOKUP(tblPersoneel[[#This Row],[Uitbetalings periode]],UitbetaalPeriode[],2,FALSE)</f>
        <v>#N/A</v>
      </c>
      <c r="AC81" s="32" t="e">
        <f>VLOOKUP(tblPersoneel[[#This Row],[Uitbetalings periode]],UitbetaalPeriode[],3,FALSE)</f>
        <v>#N/A</v>
      </c>
    </row>
    <row r="82" spans="1:29" x14ac:dyDescent="0.25">
      <c r="A82" s="9" t="s">
        <v>41</v>
      </c>
      <c r="B82" s="9"/>
      <c r="C82" s="9"/>
      <c r="D82" s="9"/>
      <c r="E82" s="9"/>
      <c r="F82" s="9"/>
      <c r="G82" s="9"/>
      <c r="H82" s="9"/>
      <c r="I82" s="9"/>
      <c r="J82" s="9"/>
      <c r="K82" s="9"/>
      <c r="L82" s="15">
        <f>SUBTOTAL(109,tblPersoneel[Loon per jaar 2023])</f>
        <v>0</v>
      </c>
      <c r="M82" s="15"/>
      <c r="N82" s="15"/>
      <c r="O82" s="15"/>
      <c r="P82" s="9"/>
      <c r="Q82" s="9"/>
      <c r="R82" s="9"/>
      <c r="S82" s="9"/>
      <c r="T82" s="15">
        <f>SUBTOTAL(109,tblPersoneel[Loon per jaar 2026])</f>
        <v>0</v>
      </c>
      <c r="U82" s="15"/>
      <c r="V82" s="15"/>
      <c r="W82" s="15"/>
      <c r="X82" s="15"/>
      <c r="Y82" s="15"/>
      <c r="Z82" s="15"/>
      <c r="AA82" s="9"/>
      <c r="AB82" s="9"/>
      <c r="AC82" s="9">
        <f>SUBTOTAL(103,tblPersoneel[aantal uitbetalingen])</f>
        <v>63</v>
      </c>
    </row>
    <row r="104" ht="81.599999999999994" customHeight="1" x14ac:dyDescent="0.25"/>
  </sheetData>
  <sheetProtection algorithmName="SHA-512" hashValue="/6DJq2YufXjgdiw3ih3/q0GIX5NBSw2Cj7xCfYedVrWJVVqPjMfn6dj1ZFaCxMMOsJgz3j1LxSfKR2pBPyAMag==" saltValue="6D9G7V9Qfx5Hr1YHt0cwpg==" spinCount="100000" sheet="1" insertRows="0" selectLockedCells="1"/>
  <mergeCells count="7">
    <mergeCell ref="H10:P10"/>
    <mergeCell ref="H11:P12"/>
    <mergeCell ref="H13:P14"/>
    <mergeCell ref="A2:T2"/>
    <mergeCell ref="A3:T3"/>
    <mergeCell ref="A7:T7"/>
    <mergeCell ref="A6:F6"/>
  </mergeCells>
  <phoneticPr fontId="2" type="noConversion"/>
  <conditionalFormatting sqref="K19:K82">
    <cfRule type="cellIs" dxfId="32" priority="4" operator="lessThan">
      <formula>minimum2023</formula>
    </cfRule>
  </conditionalFormatting>
  <conditionalFormatting sqref="Q19:Q82">
    <cfRule type="cellIs" dxfId="31" priority="3" operator="lessThanOrEqual">
      <formula>minimum202401</formula>
    </cfRule>
  </conditionalFormatting>
  <conditionalFormatting sqref="S19:S82">
    <cfRule type="cellIs" dxfId="30" priority="2" operator="lessThanOrEqual">
      <formula>minimum202402</formula>
    </cfRule>
  </conditionalFormatting>
  <conditionalFormatting sqref="Y19:Y81">
    <cfRule type="cellIs" dxfId="29" priority="1" operator="lessThan">
      <formula>minimum202501</formula>
    </cfRule>
  </conditionalFormatting>
  <dataValidations count="17">
    <dataValidation allowBlank="1" showInputMessage="1" showErrorMessage="1" promptTitle="Invoer..." prompt="Voer een percentage in" sqref="O19:O81 W19:W81" xr:uid="{78D37566-0E2C-4B17-BB25-FE7F945E08C4}"/>
    <dataValidation type="list" allowBlank="1" showInputMessage="1" showErrorMessage="1" promptTitle="Maak keuze..." prompt="Maak een keuze uit de lijst" sqref="M19:M81 U19:U81" xr:uid="{0EACF7C1-1811-42FF-9A26-3B32BEBADE91}">
      <formula1>"Ja,nee"</formula1>
    </dataValidation>
    <dataValidation type="list" allowBlank="1" showErrorMessage="1" promptTitle="Maak Keuze" prompt="Kies de gewenste uitbetalingsperiode" sqref="C20:C81" xr:uid="{C35421AD-11F8-478B-A510-C3CE8D8B44A7}">
      <formula1>UitbetaalPer</formula1>
    </dataValidation>
    <dataValidation type="list" allowBlank="1" showErrorMessage="1" promptTitle="Maak keuze..." prompt="Kies gewenste deeltijd" sqref="D20:D81" xr:uid="{05DC4060-A422-4098-955C-4FA6712A94F2}">
      <formula1>"1,.9,.8,.7,.6,.5,.4,.3,.2,.1"</formula1>
    </dataValidation>
    <dataValidation type="list" allowBlank="1" showErrorMessage="1" promptTitle="Maak keuze..." prompt="Kies de juiste leeftijd" sqref="E20:E81" xr:uid="{C111C86F-5DD0-459B-AD9A-76E107AF9F97}">
      <formula1>leeftijd</formula1>
    </dataValidation>
    <dataValidation type="list" allowBlank="1" showErrorMessage="1" promptTitle="Maak keuze..." prompt="Maak een keuze uit de lijst" sqref="F20:F81" xr:uid="{17857604-632A-4D7C-861A-D4AEFD8B2F1A}">
      <formula1>"Ja,nee"</formula1>
    </dataValidation>
    <dataValidation type="whole" operator="greaterThan" allowBlank="1" showInputMessage="1" showErrorMessage="1" promptTitle="Invoer..." prompt="Voer een bedrag in..." sqref="V19:V81 N19:N81 G20:G81" xr:uid="{B49D3AC2-1063-4460-8F93-1808D3D2B9AD}">
      <formula1>0</formula1>
    </dataValidation>
    <dataValidation type="whole" operator="greaterThan" allowBlank="1" showInputMessage="1" showErrorMessage="1" promptTitle="Invoer..." prompt="Voer het bedrag in wat er voor de gekozen uitbetalingsperiode is uitbetaald." sqref="P19:P81 J20:J81 R19:R81" xr:uid="{E9B8EE07-A43A-443C-9978-0D92D2F20B89}">
      <formula1>0</formula1>
    </dataValidation>
    <dataValidation allowBlank="1" showInputMessage="1" showErrorMessage="1" promptTitle="Eligí" prompt="Eligí e kantidat ku a wòrdu pagá pa e periodo di pago skohé." sqref="J19" xr:uid="{86193571-5D0B-4116-B323-00337AD24418}"/>
    <dataValidation allowBlank="1" showInputMessage="1" showErrorMessage="1" promptTitle="Enserá" prompt="Enserá e kantidat di oranan ku ta traha pa siman" sqref="I19" xr:uid="{4D4BBC87-2DE8-4640-829D-7933131E6C88}"/>
    <dataValidation allowBlank="1" showInputMessage="1" showErrorMessage="1" promptTitle="Enserá un porshento" prompt="Enserá un porshento" sqref="H19" xr:uid="{F446EA12-3B8A-483B-8BCD-E42E86DBB35F}"/>
    <dataValidation allowBlank="1" showInputMessage="1" showErrorMessage="1" promptTitle="Enserá un kantidat" prompt="Enserá un kantidat" sqref="G19" xr:uid="{DE8AEC6C-4276-47F0-9C17-3B85A86F499A}"/>
    <dataValidation type="list" allowBlank="1" showInputMessage="1" showErrorMessage="1" promptTitle="Eligí" prompt="Eligí e edat adekuá" sqref="E19" xr:uid="{525E040A-6A7F-4F3E-880C-30DC4C841301}">
      <formula1>leeftijd</formula1>
    </dataValidation>
    <dataValidation type="list" allowBlank="1" showInputMessage="1" showErrorMessage="1" promptTitle="Eligí" prompt="Eligí e parti di tempu ku bo ke" sqref="D19" xr:uid="{D48AEC20-50F1-49BC-A5A6-62BE8554B5EA}">
      <formula1>"1,.9,.8,.7,.6,.5,.4,.3,.2,.1"</formula1>
    </dataValidation>
    <dataValidation type="list" allowBlank="1" showInputMessage="1" showErrorMessage="1" promptTitle="Periodo di pago" prompt="Klek riba e periodo di pago ku bo ta deseá" sqref="C19" xr:uid="{E520C96C-C3BD-4A15-AAA0-B3E229CF541E}">
      <formula1>UitbetaalPer</formula1>
    </dataValidation>
    <dataValidation allowBlank="1" showInputMessage="1" showErrorMessage="1" promptTitle="Nòmber di e funshon...." prompt="Inskribí e nòmber di e funshon...." sqref="B19" xr:uid="{450D3F3C-EDAF-4720-B00A-8F12EB33E3C2}"/>
    <dataValidation type="list" allowBlank="1" showInputMessage="1" showErrorMessage="1" promptTitle="Maak keuze..." sqref="F19" xr:uid="{865E0129-F9BA-4204-97F4-636BDBF7415B}">
      <formula1>"Ja,nee"</formula1>
    </dataValidation>
  </dataValidations>
  <pageMargins left="0.7" right="0.7" top="0.75" bottom="0.75" header="0.3" footer="0.3"/>
  <pageSetup paperSize="9" scale="56" orientation="portrait" r:id="rId1"/>
  <drawing r:id="rId2"/>
  <tableParts count="4">
    <tablePart r:id="rId3"/>
    <tablePart r:id="rId4"/>
    <tablePart r:id="rId5"/>
    <tablePart r:id="rId6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A469BB-105B-4701-BCE2-58671B21A9D9}">
  <dimension ref="A1:AB54"/>
  <sheetViews>
    <sheetView zoomScale="85" zoomScaleNormal="85" workbookViewId="0">
      <selection activeCell="C23" sqref="C23"/>
    </sheetView>
  </sheetViews>
  <sheetFormatPr defaultRowHeight="15" x14ac:dyDescent="0.25"/>
  <cols>
    <col min="1" max="1" width="21" customWidth="1"/>
    <col min="2" max="2" width="25.85546875" bestFit="1" customWidth="1"/>
    <col min="3" max="3" width="8.5703125" customWidth="1"/>
    <col min="4" max="5" width="25.85546875" customWidth="1"/>
    <col min="6" max="7" width="23.42578125" customWidth="1"/>
    <col min="8" max="8" width="17.85546875" customWidth="1"/>
    <col min="9" max="9" width="22.85546875" customWidth="1"/>
    <col min="10" max="10" width="20" customWidth="1"/>
    <col min="11" max="13" width="12.5703125" customWidth="1"/>
    <col min="14" max="14" width="11.42578125" customWidth="1"/>
    <col min="15" max="15" width="76.85546875" customWidth="1"/>
    <col min="16" max="16" width="16.5703125" customWidth="1"/>
    <col min="17" max="17" width="12.42578125" customWidth="1"/>
  </cols>
  <sheetData>
    <row r="1" spans="1:21" ht="15.75" thickBot="1" x14ac:dyDescent="0.3"/>
    <row r="2" spans="1:21" ht="26.25" x14ac:dyDescent="0.25">
      <c r="A2" s="136"/>
      <c r="B2" s="137"/>
      <c r="C2" s="137"/>
      <c r="D2" s="137"/>
      <c r="E2" s="137"/>
      <c r="F2" s="137"/>
      <c r="G2" s="137"/>
      <c r="H2" s="137"/>
      <c r="I2" s="111"/>
      <c r="J2" s="112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</row>
    <row r="3" spans="1:21" ht="26.25" x14ac:dyDescent="0.25">
      <c r="A3" s="139" t="s">
        <v>8</v>
      </c>
      <c r="B3" s="140"/>
      <c r="C3" s="140"/>
      <c r="D3" s="140"/>
      <c r="E3" s="140"/>
      <c r="F3" s="140"/>
      <c r="G3" s="140"/>
      <c r="H3" s="140"/>
      <c r="I3" s="62"/>
      <c r="J3" s="113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</row>
    <row r="4" spans="1:21" ht="15" customHeight="1" x14ac:dyDescent="0.25">
      <c r="A4" s="150"/>
      <c r="B4" s="151"/>
      <c r="C4" s="151"/>
      <c r="D4" s="151"/>
      <c r="E4" s="151"/>
      <c r="F4" s="151"/>
      <c r="G4" s="151"/>
      <c r="H4" s="151"/>
      <c r="I4" s="22"/>
      <c r="J4" s="34"/>
    </row>
    <row r="5" spans="1:21" ht="15" customHeight="1" x14ac:dyDescent="0.25">
      <c r="A5" s="152" t="s">
        <v>6</v>
      </c>
      <c r="B5" s="153"/>
      <c r="C5" s="153"/>
      <c r="D5" s="153"/>
      <c r="E5" s="153"/>
      <c r="F5" s="153"/>
      <c r="G5" s="153"/>
      <c r="H5" s="153"/>
      <c r="I5" s="22"/>
      <c r="J5" s="34"/>
    </row>
    <row r="6" spans="1:21" ht="15" customHeight="1" x14ac:dyDescent="0.25">
      <c r="A6" s="145" t="s">
        <v>52</v>
      </c>
      <c r="B6" s="146"/>
      <c r="C6" s="146"/>
      <c r="D6" s="146"/>
      <c r="E6" s="146"/>
      <c r="F6" s="146"/>
      <c r="G6" s="146"/>
      <c r="H6" s="146"/>
      <c r="I6" s="22"/>
      <c r="J6" s="34"/>
    </row>
    <row r="7" spans="1:21" ht="15.75" customHeight="1" thickBot="1" x14ac:dyDescent="0.3">
      <c r="A7" s="142"/>
      <c r="B7" s="143"/>
      <c r="C7" s="143"/>
      <c r="D7" s="143"/>
      <c r="E7" s="143"/>
      <c r="F7" s="143"/>
      <c r="G7" s="143"/>
      <c r="H7" s="143"/>
      <c r="I7" s="114"/>
      <c r="J7" s="115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</row>
    <row r="8" spans="1:21" ht="15.75" thickBot="1" x14ac:dyDescent="0.3"/>
    <row r="9" spans="1:21" ht="21" x14ac:dyDescent="0.35">
      <c r="B9" s="95"/>
      <c r="C9" s="96"/>
      <c r="D9" s="96"/>
      <c r="E9" s="96"/>
      <c r="F9" s="97">
        <v>2023</v>
      </c>
      <c r="G9" s="97">
        <v>2026</v>
      </c>
      <c r="H9" s="97"/>
      <c r="I9" s="97" t="s">
        <v>100</v>
      </c>
      <c r="J9" s="98"/>
    </row>
    <row r="10" spans="1:21" ht="21" x14ac:dyDescent="0.25">
      <c r="B10" s="99" t="s">
        <v>38</v>
      </c>
      <c r="C10" s="93"/>
      <c r="D10" s="93"/>
      <c r="E10" s="93"/>
      <c r="F10" s="93">
        <f>IF($C$23="Ja",tblPersoneel[[#Totals],[Loon per jaar 2023]],0)</f>
        <v>0</v>
      </c>
      <c r="G10" s="93">
        <f>IF($C$23="Ja",tblPersoneel[[#Totals],[Loon per jaar 2026]],0)</f>
        <v>0</v>
      </c>
      <c r="H10" s="93"/>
      <c r="I10" s="93">
        <f t="shared" ref="I10:I12" si="0">+G10-F10</f>
        <v>0</v>
      </c>
      <c r="J10" s="100"/>
    </row>
    <row r="11" spans="1:21" ht="21" x14ac:dyDescent="0.25">
      <c r="B11" s="99" t="s">
        <v>0</v>
      </c>
      <c r="C11" s="93"/>
      <c r="D11" s="93"/>
      <c r="E11" s="93"/>
      <c r="F11" s="117">
        <f>F10*WGP_2023</f>
        <v>0</v>
      </c>
      <c r="G11" s="117">
        <f>G10*WGP_2026</f>
        <v>0</v>
      </c>
      <c r="H11" s="117"/>
      <c r="I11" s="117">
        <f t="shared" si="0"/>
        <v>0</v>
      </c>
      <c r="J11" s="118"/>
    </row>
    <row r="12" spans="1:21" ht="21" x14ac:dyDescent="0.25">
      <c r="B12" s="99" t="s">
        <v>87</v>
      </c>
      <c r="C12" s="93"/>
      <c r="D12" s="93"/>
      <c r="E12" s="93"/>
      <c r="F12" s="93">
        <f>SUM(F10:F11)</f>
        <v>0</v>
      </c>
      <c r="G12" s="93">
        <f>SUM(G10:G11)</f>
        <v>0</v>
      </c>
      <c r="H12" s="93"/>
      <c r="I12" s="93">
        <f t="shared" si="0"/>
        <v>0</v>
      </c>
      <c r="J12" s="100"/>
    </row>
    <row r="13" spans="1:21" ht="21" x14ac:dyDescent="0.35">
      <c r="B13" s="101" t="s">
        <v>99</v>
      </c>
      <c r="C13" s="93"/>
      <c r="D13" s="93"/>
      <c r="E13" s="93"/>
      <c r="F13" s="93">
        <v>0</v>
      </c>
      <c r="G13" s="93">
        <f>G10 *(WGP_2023 - WGP_2026)</f>
        <v>0</v>
      </c>
      <c r="H13" s="93"/>
      <c r="I13" s="94"/>
      <c r="J13" s="102"/>
      <c r="K13" s="92"/>
    </row>
    <row r="14" spans="1:21" ht="21.75" thickBot="1" x14ac:dyDescent="0.4">
      <c r="B14" s="103"/>
      <c r="C14" s="104"/>
      <c r="D14" s="104"/>
      <c r="E14" s="104"/>
      <c r="F14" s="104"/>
      <c r="G14" s="104"/>
      <c r="H14" s="104"/>
      <c r="I14" s="105"/>
      <c r="J14" s="106"/>
    </row>
    <row r="18" spans="2:16" ht="15.75" thickBot="1" x14ac:dyDescent="0.3"/>
    <row r="19" spans="2:16" x14ac:dyDescent="0.25">
      <c r="B19" s="76" t="s">
        <v>33</v>
      </c>
      <c r="C19" s="77"/>
      <c r="D19" s="78">
        <v>2021</v>
      </c>
      <c r="E19" s="78">
        <v>2022</v>
      </c>
      <c r="F19" s="78">
        <v>2023</v>
      </c>
      <c r="G19" s="78">
        <v>2026</v>
      </c>
      <c r="H19" s="79"/>
      <c r="O19" s="7"/>
      <c r="P19" s="7"/>
    </row>
    <row r="20" spans="2:16" x14ac:dyDescent="0.25">
      <c r="B20" s="80" t="s">
        <v>31</v>
      </c>
      <c r="C20" s="70"/>
      <c r="D20" s="69"/>
      <c r="E20" s="69"/>
      <c r="F20" s="74"/>
      <c r="G20" s="74"/>
      <c r="H20" s="81"/>
      <c r="I20" s="1"/>
      <c r="J20" s="8"/>
      <c r="K20" s="8"/>
      <c r="L20" s="8"/>
      <c r="M20" s="8"/>
      <c r="N20" s="8"/>
      <c r="O20" s="8"/>
      <c r="P20" s="5"/>
    </row>
    <row r="21" spans="2:16" x14ac:dyDescent="0.25">
      <c r="B21" s="82"/>
      <c r="C21" s="71"/>
      <c r="D21" s="69"/>
      <c r="E21" s="69"/>
      <c r="F21" s="69"/>
      <c r="G21" s="69"/>
      <c r="H21" s="81"/>
      <c r="I21" s="1"/>
      <c r="J21" s="8"/>
      <c r="K21" s="8"/>
      <c r="L21" s="8"/>
      <c r="M21" s="8"/>
      <c r="N21" s="8"/>
      <c r="O21" s="8"/>
      <c r="P21" s="5"/>
    </row>
    <row r="22" spans="2:16" ht="21.75" thickBot="1" x14ac:dyDescent="0.3">
      <c r="B22" s="80" t="s">
        <v>51</v>
      </c>
      <c r="C22" s="72"/>
      <c r="D22" s="69"/>
      <c r="E22" s="69"/>
      <c r="F22" s="69"/>
      <c r="G22" s="69"/>
      <c r="H22" s="81"/>
      <c r="K22" s="91"/>
    </row>
    <row r="23" spans="2:16" ht="15.75" thickBot="1" x14ac:dyDescent="0.3">
      <c r="B23" s="83" t="s">
        <v>38</v>
      </c>
      <c r="C23" s="119" t="s">
        <v>26</v>
      </c>
      <c r="D23" s="53"/>
      <c r="E23" s="53"/>
      <c r="F23" s="68">
        <f>IF($C$23="Ja",tblPersoneel[[#Totals],[Loon per jaar 2023]],0)</f>
        <v>0</v>
      </c>
      <c r="G23" s="68">
        <f>IF($C$23="Ja",tblPersoneel[[#Totals],[Loon per jaar 2026]],0)</f>
        <v>0</v>
      </c>
      <c r="H23" s="84"/>
    </row>
    <row r="24" spans="2:16" x14ac:dyDescent="0.25">
      <c r="B24" s="82" t="s">
        <v>0</v>
      </c>
      <c r="C24" s="73"/>
      <c r="D24" s="53"/>
      <c r="E24" s="53"/>
      <c r="F24" s="68">
        <f>F23*WGP_2023</f>
        <v>0</v>
      </c>
      <c r="G24" s="68">
        <f>G23*WGP_2026</f>
        <v>0</v>
      </c>
      <c r="H24" s="84"/>
    </row>
    <row r="25" spans="2:16" x14ac:dyDescent="0.25">
      <c r="B25" s="82" t="s">
        <v>53</v>
      </c>
      <c r="C25" s="71"/>
      <c r="D25" s="53"/>
      <c r="E25" s="53"/>
      <c r="F25" s="69"/>
      <c r="G25" s="69"/>
      <c r="H25" s="81"/>
    </row>
    <row r="26" spans="2:16" x14ac:dyDescent="0.25">
      <c r="B26" s="82" t="s">
        <v>39</v>
      </c>
      <c r="C26" s="71"/>
      <c r="D26" s="53"/>
      <c r="E26" s="53"/>
      <c r="F26" s="53"/>
      <c r="G26" s="53"/>
      <c r="H26" s="81"/>
    </row>
    <row r="27" spans="2:16" x14ac:dyDescent="0.25">
      <c r="B27" s="82" t="s">
        <v>39</v>
      </c>
      <c r="C27" s="71"/>
      <c r="D27" s="53"/>
      <c r="E27" s="53"/>
      <c r="F27" s="53"/>
      <c r="G27" s="53"/>
      <c r="H27" s="81"/>
    </row>
    <row r="28" spans="2:16" x14ac:dyDescent="0.25">
      <c r="B28" s="82" t="s">
        <v>39</v>
      </c>
      <c r="C28" s="71"/>
      <c r="D28" s="53"/>
      <c r="E28" s="53"/>
      <c r="F28" s="53"/>
      <c r="G28" s="53"/>
      <c r="H28" s="81"/>
    </row>
    <row r="29" spans="2:16" x14ac:dyDescent="0.25">
      <c r="B29" s="80" t="s">
        <v>46</v>
      </c>
      <c r="C29" s="70"/>
      <c r="D29" s="68">
        <f>SUM(DirekteKosten2021)</f>
        <v>0</v>
      </c>
      <c r="E29" s="68">
        <f>SUM(DirekteKosten2022)</f>
        <v>0</v>
      </c>
      <c r="F29" s="68">
        <f>SUM(DirekteKosten2023)</f>
        <v>0</v>
      </c>
      <c r="G29" s="68">
        <f>SUM(DirekteKosten2024)</f>
        <v>0</v>
      </c>
      <c r="H29" s="84"/>
    </row>
    <row r="30" spans="2:16" x14ac:dyDescent="0.25">
      <c r="B30" s="82"/>
      <c r="C30" s="71"/>
      <c r="D30" s="69"/>
      <c r="E30" s="69"/>
      <c r="F30" s="69"/>
      <c r="G30" s="69"/>
      <c r="H30" s="81"/>
    </row>
    <row r="31" spans="2:16" x14ac:dyDescent="0.25">
      <c r="B31" s="80" t="s">
        <v>32</v>
      </c>
      <c r="C31" s="70"/>
      <c r="D31" s="68">
        <f>Omzet2021-TotaaDirekteKosten2021</f>
        <v>0</v>
      </c>
      <c r="E31" s="68">
        <f>Omzet2022-TotaalDirekteKosten2022</f>
        <v>0</v>
      </c>
      <c r="F31" s="68">
        <f>Omzet2023-TotaalDirekteKodten2023</f>
        <v>0</v>
      </c>
      <c r="G31" s="68">
        <f>Omzet2024-TotaalDirekteKosten2024</f>
        <v>0</v>
      </c>
      <c r="H31" s="84"/>
    </row>
    <row r="32" spans="2:16" x14ac:dyDescent="0.25">
      <c r="B32" s="82"/>
      <c r="C32" s="71"/>
      <c r="D32" s="69"/>
      <c r="E32" s="69"/>
      <c r="F32" s="69"/>
      <c r="G32" s="69"/>
      <c r="H32" s="81"/>
    </row>
    <row r="33" spans="2:28" x14ac:dyDescent="0.25">
      <c r="B33" s="80" t="s">
        <v>34</v>
      </c>
      <c r="C33" s="70"/>
      <c r="D33" s="75">
        <f>IFERROR(BrutoWinst2021/Omzet2021,0)</f>
        <v>0</v>
      </c>
      <c r="E33" s="75">
        <f>IFERROR(BrutoWinst2022/Omzet2022,0)</f>
        <v>0</v>
      </c>
      <c r="F33" s="75">
        <f>IFERROR(BrutoWinst2023/Omzet2023,0)</f>
        <v>0</v>
      </c>
      <c r="G33" s="75">
        <f>IFERROR(BrutoWinst2024/Omzet2024,0)</f>
        <v>0</v>
      </c>
      <c r="H33" s="85"/>
      <c r="J33" s="90"/>
    </row>
    <row r="34" spans="2:28" x14ac:dyDescent="0.25">
      <c r="B34" s="82"/>
      <c r="C34" s="71"/>
      <c r="D34" s="69"/>
      <c r="E34" s="69"/>
      <c r="F34" s="69"/>
      <c r="G34" s="69"/>
      <c r="H34" s="81"/>
    </row>
    <row r="35" spans="2:28" ht="21" x14ac:dyDescent="0.35">
      <c r="B35" s="80" t="s">
        <v>57</v>
      </c>
      <c r="C35" s="70"/>
      <c r="D35" s="69"/>
      <c r="E35" s="69"/>
      <c r="F35" s="69"/>
      <c r="G35" s="69"/>
      <c r="H35" s="81"/>
      <c r="V35" s="120"/>
      <c r="W35" s="120"/>
      <c r="X35" s="121"/>
      <c r="Y35" s="121"/>
      <c r="Z35" s="122"/>
      <c r="AA35" s="122"/>
      <c r="AB35" s="123"/>
    </row>
    <row r="36" spans="2:28" ht="21" x14ac:dyDescent="0.35">
      <c r="B36" s="82" t="s">
        <v>38</v>
      </c>
      <c r="C36" s="70"/>
      <c r="D36" s="53"/>
      <c r="E36" s="53"/>
      <c r="F36" s="68">
        <f>IF($C$23="Nee",tblPersoneel[[#Totals],[Loon per jaar 2023]],0)</f>
        <v>0</v>
      </c>
      <c r="G36" s="68">
        <f>IF($C$23="Nee",tblPersoneel[[#Totals],[Loon per jaar 2026]],0)</f>
        <v>0</v>
      </c>
      <c r="H36" s="116"/>
      <c r="V36" s="124"/>
      <c r="W36" s="124"/>
      <c r="X36" s="124"/>
      <c r="Y36" s="124"/>
      <c r="Z36" s="120"/>
      <c r="AA36" s="120"/>
      <c r="AB36" s="120"/>
    </row>
    <row r="37" spans="2:28" ht="21" x14ac:dyDescent="0.35">
      <c r="B37" s="82" t="s">
        <v>0</v>
      </c>
      <c r="C37" s="71"/>
      <c r="D37" s="53"/>
      <c r="E37" s="53"/>
      <c r="F37" s="68">
        <f>F36*WGP_2023</f>
        <v>0</v>
      </c>
      <c r="G37" s="68">
        <f>G36*WGP_2026</f>
        <v>0</v>
      </c>
      <c r="H37" s="84"/>
      <c r="V37" s="120"/>
      <c r="W37" s="120"/>
      <c r="X37" s="125"/>
      <c r="Y37" s="125"/>
      <c r="Z37" s="120"/>
      <c r="AA37" s="120"/>
      <c r="AB37" s="120"/>
    </row>
    <row r="38" spans="2:28" ht="21" x14ac:dyDescent="0.35">
      <c r="B38" s="82" t="s">
        <v>62</v>
      </c>
      <c r="C38" s="71"/>
      <c r="D38" s="53"/>
      <c r="E38" s="53"/>
      <c r="F38" s="69"/>
      <c r="G38" s="69"/>
      <c r="H38" s="81"/>
      <c r="V38" s="120"/>
      <c r="W38" s="120"/>
      <c r="X38" s="125"/>
      <c r="Y38" s="125"/>
      <c r="Z38" s="120"/>
      <c r="AA38" s="120"/>
      <c r="AB38" s="120"/>
    </row>
    <row r="39" spans="2:28" ht="21" x14ac:dyDescent="0.35">
      <c r="B39" s="82" t="s">
        <v>35</v>
      </c>
      <c r="C39" s="71"/>
      <c r="D39" s="53"/>
      <c r="E39" s="53"/>
      <c r="F39" s="53"/>
      <c r="G39" s="53"/>
      <c r="H39" s="81"/>
      <c r="V39" s="120"/>
      <c r="W39" s="120"/>
      <c r="X39" s="125"/>
      <c r="Y39" s="125"/>
      <c r="Z39" s="120"/>
      <c r="AA39" s="120"/>
      <c r="AB39" s="120"/>
    </row>
    <row r="40" spans="2:28" ht="21" x14ac:dyDescent="0.35">
      <c r="B40" s="82" t="s">
        <v>36</v>
      </c>
      <c r="C40" s="71"/>
      <c r="D40" s="53"/>
      <c r="E40" s="53"/>
      <c r="F40" s="53"/>
      <c r="G40" s="53"/>
      <c r="H40" s="81"/>
      <c r="V40" s="120"/>
      <c r="W40" s="120"/>
      <c r="X40" s="125"/>
      <c r="Y40" s="125"/>
      <c r="Z40" s="120"/>
      <c r="AA40" s="120"/>
      <c r="AB40" s="120"/>
    </row>
    <row r="41" spans="2:28" ht="21" x14ac:dyDescent="0.35">
      <c r="B41" s="82" t="s">
        <v>37</v>
      </c>
      <c r="C41" s="71"/>
      <c r="D41" s="53"/>
      <c r="E41" s="53"/>
      <c r="F41" s="53"/>
      <c r="G41" s="53"/>
      <c r="H41" s="81"/>
      <c r="V41" s="120"/>
      <c r="W41" s="120"/>
      <c r="X41" s="125"/>
      <c r="Y41" s="125"/>
      <c r="Z41" s="120"/>
      <c r="AA41" s="120"/>
      <c r="AB41" s="120"/>
    </row>
    <row r="42" spans="2:28" ht="21" x14ac:dyDescent="0.35">
      <c r="B42" s="82" t="s">
        <v>58</v>
      </c>
      <c r="C42" s="71"/>
      <c r="D42" s="53"/>
      <c r="E42" s="53"/>
      <c r="F42" s="53"/>
      <c r="G42" s="53"/>
      <c r="H42" s="81"/>
      <c r="V42" s="120"/>
      <c r="W42" s="120"/>
      <c r="X42" s="125"/>
      <c r="Y42" s="125"/>
      <c r="Z42" s="120"/>
      <c r="AA42" s="120"/>
      <c r="AB42" s="120"/>
    </row>
    <row r="43" spans="2:28" ht="21" x14ac:dyDescent="0.35">
      <c r="B43" s="82" t="s">
        <v>39</v>
      </c>
      <c r="C43" s="71"/>
      <c r="D43" s="53"/>
      <c r="E43" s="53"/>
      <c r="F43" s="53"/>
      <c r="G43" s="53"/>
      <c r="H43" s="81"/>
      <c r="V43" s="120"/>
      <c r="W43" s="120"/>
      <c r="X43" s="125"/>
      <c r="Y43" s="125"/>
      <c r="Z43" s="120"/>
      <c r="AA43" s="120"/>
      <c r="AB43" s="120"/>
    </row>
    <row r="44" spans="2:28" ht="21" x14ac:dyDescent="0.35">
      <c r="B44" s="82" t="s">
        <v>39</v>
      </c>
      <c r="C44" s="71"/>
      <c r="D44" s="53"/>
      <c r="E44" s="53"/>
      <c r="F44" s="53"/>
      <c r="G44" s="53"/>
      <c r="H44" s="81"/>
      <c r="V44" s="120"/>
      <c r="W44" s="120"/>
      <c r="X44" s="125"/>
      <c r="Y44" s="125"/>
      <c r="Z44" s="120"/>
      <c r="AA44" s="120"/>
      <c r="AB44" s="120"/>
    </row>
    <row r="45" spans="2:28" ht="23.25" x14ac:dyDescent="0.35">
      <c r="B45" s="82" t="s">
        <v>39</v>
      </c>
      <c r="C45" s="71"/>
      <c r="D45" s="53"/>
      <c r="E45" s="53"/>
      <c r="F45" s="53"/>
      <c r="G45" s="53"/>
      <c r="H45" s="81"/>
      <c r="V45" s="147"/>
      <c r="W45" s="147"/>
      <c r="X45" s="147"/>
      <c r="Y45" s="147"/>
      <c r="Z45" s="126"/>
      <c r="AA45" s="120"/>
      <c r="AB45" s="120"/>
    </row>
    <row r="46" spans="2:28" x14ac:dyDescent="0.25">
      <c r="B46" s="80" t="s">
        <v>47</v>
      </c>
      <c r="C46" s="70"/>
      <c r="D46" s="68">
        <f>SUM(IndirekteKosten2021)</f>
        <v>0</v>
      </c>
      <c r="E46" s="68">
        <f>SUM(IndirekteKosten2022)</f>
        <v>0</v>
      </c>
      <c r="F46" s="68">
        <f>SUM(IndirekteKosten2023)</f>
        <v>0</v>
      </c>
      <c r="G46" s="68">
        <f>SUM(IndirekteKosten2024)</f>
        <v>0</v>
      </c>
      <c r="H46" s="84"/>
    </row>
    <row r="47" spans="2:28" x14ac:dyDescent="0.25">
      <c r="B47" s="82"/>
      <c r="C47" s="71"/>
      <c r="D47" s="69"/>
      <c r="E47" s="69"/>
      <c r="F47" s="69"/>
      <c r="G47" s="69"/>
      <c r="H47" s="81"/>
    </row>
    <row r="48" spans="2:28" ht="18.75" customHeight="1" x14ac:dyDescent="0.25">
      <c r="B48" s="86" t="s">
        <v>40</v>
      </c>
      <c r="C48" s="72"/>
      <c r="D48" s="68" cm="1">
        <f t="array" ref="D48">BrutoWinst2021-TotaalIndirekteKosten2021</f>
        <v>0</v>
      </c>
      <c r="E48" s="68" cm="1">
        <f t="array" ref="E48">BrutoWinst2022-TotaalIndirekteKosten2022</f>
        <v>0</v>
      </c>
      <c r="F48" s="68">
        <f>BrutoWinst2023-TotaalIndirekteKosten2023</f>
        <v>0</v>
      </c>
      <c r="G48" s="68">
        <f>BrutoWinst2024-TotaalIndirekteKosten2024</f>
        <v>0</v>
      </c>
      <c r="H48" s="87"/>
    </row>
    <row r="49" spans="2:8" ht="15.75" thickBot="1" x14ac:dyDescent="0.3">
      <c r="B49" s="148" t="s">
        <v>101</v>
      </c>
      <c r="C49" s="149"/>
      <c r="D49" s="88">
        <v>0</v>
      </c>
      <c r="E49" s="88">
        <v>0</v>
      </c>
      <c r="F49" s="88">
        <v>0</v>
      </c>
      <c r="G49" s="88">
        <f>IF($C$23  = "Ja",G23,G36)*(WGP_2023 - WGP_2026)</f>
        <v>0</v>
      </c>
      <c r="H49" s="89"/>
    </row>
    <row r="53" spans="2:8" x14ac:dyDescent="0.25">
      <c r="D53" s="10"/>
    </row>
    <row r="54" spans="2:8" x14ac:dyDescent="0.25">
      <c r="D54" s="10"/>
    </row>
  </sheetData>
  <sheetProtection algorithmName="SHA-512" hashValue="yB0ZZCFrhyuIv4TuQFwFmSUe20lYzQiG+Suu+QYn7ocuTBmpSbDRMSQOgJPInFXk1+sOdWbAVTrlzGPGFWlS6w==" saltValue="n9TbUnZZ+6ds7p0RY3e8Yg==" spinCount="100000" sheet="1" insertRows="0" selectLockedCells="1"/>
  <mergeCells count="8">
    <mergeCell ref="A7:H7"/>
    <mergeCell ref="V45:Y45"/>
    <mergeCell ref="B49:C49"/>
    <mergeCell ref="A2:H2"/>
    <mergeCell ref="A3:H3"/>
    <mergeCell ref="A4:H4"/>
    <mergeCell ref="A5:H5"/>
    <mergeCell ref="A6:H6"/>
  </mergeCells>
  <dataValidations count="1">
    <dataValidation type="list" allowBlank="1" showInputMessage="1" showErrorMessage="1" sqref="C23 C10" xr:uid="{EA956552-BDB3-4409-8DD7-AD235C9B6901}">
      <formula1>"Ja,Nee"</formula1>
    </dataValidation>
  </dataValidation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3ECC8-FF32-4C50-9146-D5A75B620F6E}">
  <dimension ref="B5:D11"/>
  <sheetViews>
    <sheetView workbookViewId="0">
      <selection activeCell="C19" sqref="C19"/>
    </sheetView>
  </sheetViews>
  <sheetFormatPr defaultColWidth="8.85546875" defaultRowHeight="15" x14ac:dyDescent="0.25"/>
  <cols>
    <col min="2" max="2" width="14.42578125" customWidth="1"/>
    <col min="3" max="3" width="10.140625" bestFit="1" customWidth="1"/>
    <col min="4" max="4" width="10.42578125" customWidth="1"/>
  </cols>
  <sheetData>
    <row r="5" spans="2:4" x14ac:dyDescent="0.25">
      <c r="B5" t="s">
        <v>0</v>
      </c>
      <c r="C5" t="s">
        <v>1</v>
      </c>
      <c r="D5" t="s">
        <v>2</v>
      </c>
    </row>
    <row r="6" spans="2:4" x14ac:dyDescent="0.25">
      <c r="B6" s="3"/>
      <c r="C6" s="1">
        <v>0.13400000000000001</v>
      </c>
      <c r="D6" s="1">
        <v>0.11899999999999999</v>
      </c>
    </row>
    <row r="10" spans="2:4" x14ac:dyDescent="0.25">
      <c r="B10" t="s">
        <v>3</v>
      </c>
      <c r="C10" t="s">
        <v>1</v>
      </c>
      <c r="D10" s="4" t="s">
        <v>4</v>
      </c>
    </row>
    <row r="11" spans="2:4" x14ac:dyDescent="0.25">
      <c r="B11" s="3"/>
      <c r="C11" s="2">
        <v>1570.4</v>
      </c>
      <c r="D11" s="2">
        <v>1750</v>
      </c>
    </row>
  </sheetData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46</vt:i4>
      </vt:variant>
    </vt:vector>
  </HeadingPairs>
  <TitlesOfParts>
    <vt:vector size="49" baseType="lpstr">
      <vt:lpstr>Personeel</vt:lpstr>
      <vt:lpstr>Overzichtig</vt:lpstr>
      <vt:lpstr>vastgegevens</vt:lpstr>
      <vt:lpstr>BrutoMarge2021</vt:lpstr>
      <vt:lpstr>BrutoMarge2022</vt:lpstr>
      <vt:lpstr>BrutoWinst2021</vt:lpstr>
      <vt:lpstr>BrutoWinst2022</vt:lpstr>
      <vt:lpstr>BrutoWinst2023</vt:lpstr>
      <vt:lpstr>BrutoWinst2024</vt:lpstr>
      <vt:lpstr>BrutoWinst2025</vt:lpstr>
      <vt:lpstr>DertiendeMaand</vt:lpstr>
      <vt:lpstr>DirecteKosten2025</vt:lpstr>
      <vt:lpstr>DirekteKosten2021</vt:lpstr>
      <vt:lpstr>DirekteKosten2022</vt:lpstr>
      <vt:lpstr>DirekteKosten2023</vt:lpstr>
      <vt:lpstr>DirekteKosten2024</vt:lpstr>
      <vt:lpstr>IndirekteKosten2021</vt:lpstr>
      <vt:lpstr>IndirekteKosten2022</vt:lpstr>
      <vt:lpstr>IndirekteKosten2023</vt:lpstr>
      <vt:lpstr>IndirekteKosten2024</vt:lpstr>
      <vt:lpstr>IndirekteKosten2025</vt:lpstr>
      <vt:lpstr>leeftijd</vt:lpstr>
      <vt:lpstr>lstFunctieNamen</vt:lpstr>
      <vt:lpstr>max_sal</vt:lpstr>
      <vt:lpstr>minimum2023</vt:lpstr>
      <vt:lpstr>minimum202401</vt:lpstr>
      <vt:lpstr>minimum202402</vt:lpstr>
      <vt:lpstr>minimum202501</vt:lpstr>
      <vt:lpstr>minimum202601</vt:lpstr>
      <vt:lpstr>Omzet2021</vt:lpstr>
      <vt:lpstr>Omzet2022</vt:lpstr>
      <vt:lpstr>Omzet2023</vt:lpstr>
      <vt:lpstr>Omzet2024</vt:lpstr>
      <vt:lpstr>Omzet2025</vt:lpstr>
      <vt:lpstr>TotaaDirekteKosten2021</vt:lpstr>
      <vt:lpstr>TotaalDirecteKosten2025</vt:lpstr>
      <vt:lpstr>TotaalDirekteKodten2023</vt:lpstr>
      <vt:lpstr>TotaalDirekteKosten2022</vt:lpstr>
      <vt:lpstr>TotaalDirekteKosten2024</vt:lpstr>
      <vt:lpstr>TotaalIndirekteKosten2021</vt:lpstr>
      <vt:lpstr>TotaalIndirekteKosten2022</vt:lpstr>
      <vt:lpstr>TotaalIndirekteKosten2023</vt:lpstr>
      <vt:lpstr>TotaalIndirekteKosten2024</vt:lpstr>
      <vt:lpstr>TotaalIndirekteKosten2025</vt:lpstr>
      <vt:lpstr>UitbetaalPer</vt:lpstr>
      <vt:lpstr>WGP_2023</vt:lpstr>
      <vt:lpstr>WGP_2024</vt:lpstr>
      <vt:lpstr>WGP_2025</vt:lpstr>
      <vt:lpstr>WGP_2026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Caljouw</dc:creator>
  <cp:lastModifiedBy>Maarten Caljouw</cp:lastModifiedBy>
  <cp:lastPrinted>2024-02-20T16:08:59Z</cp:lastPrinted>
  <dcterms:created xsi:type="dcterms:W3CDTF">2023-12-19T13:42:17Z</dcterms:created>
  <dcterms:modified xsi:type="dcterms:W3CDTF">2026-02-05T19:12:25Z</dcterms:modified>
</cp:coreProperties>
</file>