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3bf4be011a8a04b/docs/1.NoBoxBV/5.Clients/KVK/Doc/demo perssoneelkosten/ontwikkeling V4/"/>
    </mc:Choice>
  </mc:AlternateContent>
  <xr:revisionPtr revIDLastSave="376" documentId="8_{8AC6EF3C-521F-42BA-A4E2-DA94C0797C79}" xr6:coauthVersionLast="47" xr6:coauthVersionMax="47" xr10:uidLastSave="{EF35FBEA-FE3B-4460-867E-2234F5EB5364}"/>
  <bookViews>
    <workbookView xWindow="38280" yWindow="-120" windowWidth="38640" windowHeight="21120" xr2:uid="{2133BCE6-F548-4D7C-B506-0BF38713FD3A}"/>
  </bookViews>
  <sheets>
    <sheet name="Empleado" sheetId="1" r:id="rId1"/>
    <sheet name="Resúmen" sheetId="3" r:id="rId2"/>
    <sheet name="vastgegevens" sheetId="2" state="hidden" r:id="rId3"/>
  </sheets>
  <definedNames>
    <definedName name="BrutoMarge2021">Resúmen!$D$33</definedName>
    <definedName name="BrutoMarge2022">Resúmen!$E$33</definedName>
    <definedName name="BrutoWinst2021">Resúmen!$D$31</definedName>
    <definedName name="BrutoWinst2022">Resúmen!$E$31</definedName>
    <definedName name="BrutoWinst2023">Resúmen!$F$31</definedName>
    <definedName name="BrutoWinst2024">Resúmen!$G$31</definedName>
    <definedName name="BrutoWinst2025">Resúmen!$H$31</definedName>
    <definedName name="DertiendeMaand">Empleado!$XEN$304</definedName>
    <definedName name="DirekteKosten2021">Resúmen!$D$23:$D$28</definedName>
    <definedName name="DirekteKosten2022">Resúmen!$E$23:$E$28</definedName>
    <definedName name="DirekteKosten2023">Resúmen!$F$23:$F$28</definedName>
    <definedName name="DirekteKosten2024">Resúmen!$G$23:$G$28</definedName>
    <definedName name="DirekteKosten2025">Resúmen!$H$23:$H$28</definedName>
    <definedName name="indi">Resúmen!$H$43</definedName>
    <definedName name="IndirekteKosten2021">Resúmen!$D$36:$D$45</definedName>
    <definedName name="IndirekteKosten2022">Resúmen!$E$36:$E$45</definedName>
    <definedName name="IndirekteKosten2023">Resúmen!$F$36:$F$45</definedName>
    <definedName name="IndirekteKosten2024">Resúmen!$G$36:$G$45</definedName>
    <definedName name="IndirekteKosten2025">Resúmen!$H$36:$H$45</definedName>
    <definedName name="leeftijd">tblLeeftijdPercentage[Edat]</definedName>
    <definedName name="lstFunctieNamen">Table6[FunctieNaam]</definedName>
    <definedName name="max_sal">vastgegevens!$C$14</definedName>
    <definedName name="minimum2023">Empleado!$XEN$305</definedName>
    <definedName name="minimum202401">Empleado!$XEN$306</definedName>
    <definedName name="minimum202402">Empleado!$XEN$307</definedName>
    <definedName name="minimum202501">Empleado!$XEN$308</definedName>
    <definedName name="minimum202601">Empleado!$XEN$309</definedName>
    <definedName name="OLE_LINK1" localSheetId="0">Empleado!$A$11</definedName>
    <definedName name="Omzet2021">Resúmen!$D$20</definedName>
    <definedName name="Omzet2022">Resúmen!$E$20</definedName>
    <definedName name="Omzet2023">Resúmen!$F$20</definedName>
    <definedName name="Omzet2024">Resúmen!$G$20</definedName>
    <definedName name="Omzet2025">Resúmen!$H$20</definedName>
    <definedName name="TotaaDirekteKosten2021">Resúmen!$D$29</definedName>
    <definedName name="TotaalDirekteKodten2023">Resúmen!$F$29</definedName>
    <definedName name="TotaalDirekteKosten2022">Resúmen!$E$29</definedName>
    <definedName name="TotaalDirekteKosten2024">Resúmen!$G$29</definedName>
    <definedName name="TotaalDirekteKosten2025">Resúmen!$H$29</definedName>
    <definedName name="TotaalIndirekteKosten2021">Resúmen!$D$46</definedName>
    <definedName name="TotaalIndirekteKosten2022">Resúmen!$E$46</definedName>
    <definedName name="TotaalIndirekteKosten2023">Resúmen!$F$46</definedName>
    <definedName name="TotaalIndirekteKosten2024">Resúmen!$G$46</definedName>
    <definedName name="TotaalIndirekteKosten2025">Resúmen!$H$46</definedName>
    <definedName name="UitbetaalPer">UitbetaalPeriode[uitbper]</definedName>
    <definedName name="WGP_2023">Empleado!$XEN$300</definedName>
    <definedName name="WGP_2024">Empleado!$XEN$301</definedName>
    <definedName name="WGP_2025">Empleado!$XEN$302</definedName>
    <definedName name="WGP_2026">Empleado!$XEN$303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P20" i="1" l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D9" i="1" l="1"/>
  <c r="P19" i="1" s="1"/>
  <c r="C11" i="1"/>
  <c r="C9" i="1" s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T81" i="1" l="1"/>
  <c r="U81" i="1"/>
  <c r="R81" i="1" s="1"/>
  <c r="T80" i="1"/>
  <c r="U80" i="1"/>
  <c r="R80" i="1" s="1"/>
  <c r="T79" i="1"/>
  <c r="U79" i="1"/>
  <c r="R79" i="1" s="1"/>
  <c r="T78" i="1"/>
  <c r="U78" i="1"/>
  <c r="R78" i="1" s="1"/>
  <c r="T77" i="1"/>
  <c r="U77" i="1"/>
  <c r="R77" i="1" s="1"/>
  <c r="T76" i="1"/>
  <c r="U76" i="1"/>
  <c r="R76" i="1" s="1"/>
  <c r="T75" i="1"/>
  <c r="U75" i="1"/>
  <c r="R75" i="1" s="1"/>
  <c r="T74" i="1"/>
  <c r="U74" i="1"/>
  <c r="R74" i="1" s="1"/>
  <c r="T73" i="1"/>
  <c r="U73" i="1"/>
  <c r="R73" i="1" s="1"/>
  <c r="T72" i="1"/>
  <c r="U72" i="1"/>
  <c r="R72" i="1" s="1"/>
  <c r="T71" i="1"/>
  <c r="U71" i="1"/>
  <c r="R71" i="1" s="1"/>
  <c r="T70" i="1"/>
  <c r="U70" i="1"/>
  <c r="R70" i="1" s="1"/>
  <c r="T69" i="1"/>
  <c r="U69" i="1"/>
  <c r="R69" i="1" s="1"/>
  <c r="T68" i="1"/>
  <c r="U68" i="1"/>
  <c r="R68" i="1" s="1"/>
  <c r="T67" i="1"/>
  <c r="U67" i="1"/>
  <c r="R67" i="1" s="1"/>
  <c r="T66" i="1"/>
  <c r="U66" i="1"/>
  <c r="R66" i="1" s="1"/>
  <c r="T65" i="1"/>
  <c r="U65" i="1"/>
  <c r="R65" i="1" s="1"/>
  <c r="T64" i="1"/>
  <c r="U64" i="1"/>
  <c r="R64" i="1" s="1"/>
  <c r="T63" i="1"/>
  <c r="U63" i="1"/>
  <c r="R63" i="1" s="1"/>
  <c r="T62" i="1"/>
  <c r="U62" i="1"/>
  <c r="R62" i="1" s="1"/>
  <c r="T61" i="1"/>
  <c r="U61" i="1"/>
  <c r="R61" i="1" s="1"/>
  <c r="T60" i="1"/>
  <c r="U60" i="1"/>
  <c r="R60" i="1" s="1"/>
  <c r="T59" i="1"/>
  <c r="U59" i="1"/>
  <c r="R59" i="1" s="1"/>
  <c r="T58" i="1"/>
  <c r="U58" i="1"/>
  <c r="R58" i="1" s="1"/>
  <c r="T57" i="1"/>
  <c r="U57" i="1"/>
  <c r="R57" i="1" s="1"/>
  <c r="T56" i="1"/>
  <c r="U56" i="1"/>
  <c r="R56" i="1" s="1"/>
  <c r="T55" i="1"/>
  <c r="U55" i="1"/>
  <c r="R55" i="1" s="1"/>
  <c r="T54" i="1"/>
  <c r="U54" i="1"/>
  <c r="R54" i="1" s="1"/>
  <c r="T53" i="1"/>
  <c r="U53" i="1"/>
  <c r="R53" i="1" s="1"/>
  <c r="T52" i="1"/>
  <c r="U52" i="1"/>
  <c r="R52" i="1" s="1"/>
  <c r="T51" i="1"/>
  <c r="U51" i="1"/>
  <c r="R51" i="1" s="1"/>
  <c r="T50" i="1"/>
  <c r="U50" i="1"/>
  <c r="R50" i="1" s="1"/>
  <c r="T49" i="1"/>
  <c r="U49" i="1"/>
  <c r="T48" i="1"/>
  <c r="U48" i="1"/>
  <c r="T47" i="1"/>
  <c r="U47" i="1"/>
  <c r="T46" i="1"/>
  <c r="U46" i="1"/>
  <c r="T45" i="1"/>
  <c r="U45" i="1"/>
  <c r="G36" i="3"/>
  <c r="F36" i="3"/>
  <c r="T44" i="1"/>
  <c r="U44" i="1"/>
  <c r="T43" i="1"/>
  <c r="U43" i="1"/>
  <c r="T42" i="1"/>
  <c r="U42" i="1"/>
  <c r="T41" i="1"/>
  <c r="U41" i="1"/>
  <c r="T40" i="1"/>
  <c r="U40" i="1"/>
  <c r="T39" i="1"/>
  <c r="U39" i="1"/>
  <c r="S38" i="1"/>
  <c r="T38" i="1"/>
  <c r="U38" i="1"/>
  <c r="R38" i="1" s="1"/>
  <c r="S37" i="1"/>
  <c r="T37" i="1"/>
  <c r="U37" i="1"/>
  <c r="R37" i="1" s="1"/>
  <c r="S36" i="1"/>
  <c r="T36" i="1"/>
  <c r="U36" i="1"/>
  <c r="R36" i="1" s="1"/>
  <c r="S35" i="1"/>
  <c r="T35" i="1"/>
  <c r="U35" i="1"/>
  <c r="R35" i="1" s="1"/>
  <c r="S34" i="1"/>
  <c r="T34" i="1"/>
  <c r="U34" i="1"/>
  <c r="R34" i="1" s="1"/>
  <c r="S33" i="1"/>
  <c r="T33" i="1"/>
  <c r="U33" i="1"/>
  <c r="R33" i="1" s="1"/>
  <c r="S32" i="1"/>
  <c r="T32" i="1"/>
  <c r="U32" i="1"/>
  <c r="R32" i="1" s="1"/>
  <c r="S31" i="1"/>
  <c r="T31" i="1"/>
  <c r="U31" i="1"/>
  <c r="R31" i="1" s="1"/>
  <c r="S30" i="1"/>
  <c r="T30" i="1"/>
  <c r="U30" i="1"/>
  <c r="R30" i="1" s="1"/>
  <c r="S29" i="1"/>
  <c r="T29" i="1"/>
  <c r="U29" i="1"/>
  <c r="S28" i="1"/>
  <c r="T28" i="1"/>
  <c r="U28" i="1"/>
  <c r="S27" i="1"/>
  <c r="T27" i="1"/>
  <c r="U27" i="1"/>
  <c r="S26" i="1"/>
  <c r="T26" i="1"/>
  <c r="U26" i="1"/>
  <c r="S25" i="1"/>
  <c r="T25" i="1"/>
  <c r="U25" i="1"/>
  <c r="S24" i="1"/>
  <c r="T24" i="1"/>
  <c r="U24" i="1"/>
  <c r="S23" i="1"/>
  <c r="T23" i="1"/>
  <c r="U23" i="1"/>
  <c r="S22" i="1"/>
  <c r="T22" i="1"/>
  <c r="U22" i="1"/>
  <c r="S21" i="1"/>
  <c r="T21" i="1"/>
  <c r="U21" i="1"/>
  <c r="S20" i="1"/>
  <c r="T20" i="1"/>
  <c r="U20" i="1"/>
  <c r="S19" i="1"/>
  <c r="T19" i="1"/>
  <c r="K19" i="1" s="1"/>
  <c r="U19" i="1"/>
  <c r="E46" i="3"/>
  <c r="D46" i="3"/>
  <c r="E29" i="3"/>
  <c r="E31" i="3" s="1"/>
  <c r="E33" i="3" s="1"/>
  <c r="D29" i="3"/>
  <c r="D31" i="3" s="1"/>
  <c r="D33" i="3" s="1"/>
  <c r="D13" i="1"/>
  <c r="D14" i="1"/>
  <c r="D15" i="1"/>
  <c r="D16" i="1"/>
  <c r="D12" i="1"/>
  <c r="C13" i="1"/>
  <c r="C14" i="1"/>
  <c r="C15" i="1"/>
  <c r="C16" i="1"/>
  <c r="C12" i="1"/>
  <c r="R39" i="1" l="1"/>
  <c r="R26" i="1"/>
  <c r="R41" i="1"/>
  <c r="R48" i="1"/>
  <c r="R21" i="1"/>
  <c r="R29" i="1"/>
  <c r="R44" i="1"/>
  <c r="R47" i="1"/>
  <c r="R40" i="1"/>
  <c r="R24" i="1"/>
  <c r="R22" i="1"/>
  <c r="R25" i="1"/>
  <c r="R42" i="1"/>
  <c r="R45" i="1"/>
  <c r="R49" i="1"/>
  <c r="R20" i="1"/>
  <c r="R28" i="1"/>
  <c r="R27" i="1"/>
  <c r="R23" i="1"/>
  <c r="R43" i="1"/>
  <c r="R46" i="1"/>
  <c r="L19" i="1"/>
  <c r="R19" i="1"/>
  <c r="K28" i="1"/>
  <c r="L31" i="1"/>
  <c r="K36" i="1"/>
  <c r="K30" i="1"/>
  <c r="K38" i="1"/>
  <c r="K20" i="1"/>
  <c r="K23" i="1"/>
  <c r="K31" i="1"/>
  <c r="L34" i="1"/>
  <c r="L33" i="1"/>
  <c r="K25" i="1"/>
  <c r="L36" i="1"/>
  <c r="K26" i="1"/>
  <c r="K34" i="1"/>
  <c r="L37" i="1"/>
  <c r="K22" i="1"/>
  <c r="K33" i="1"/>
  <c r="K21" i="1"/>
  <c r="K29" i="1"/>
  <c r="L32" i="1"/>
  <c r="K37" i="1"/>
  <c r="L35" i="1"/>
  <c r="K24" i="1"/>
  <c r="K32" i="1"/>
  <c r="K27" i="1"/>
  <c r="L30" i="1"/>
  <c r="K35" i="1"/>
  <c r="L38" i="1"/>
  <c r="L26" i="1"/>
  <c r="L29" i="1"/>
  <c r="L25" i="1"/>
  <c r="L21" i="1"/>
  <c r="L24" i="1"/>
  <c r="L27" i="1"/>
  <c r="L28" i="1"/>
  <c r="L22" i="1"/>
  <c r="L20" i="1"/>
  <c r="L23" i="1"/>
  <c r="L48" i="1"/>
  <c r="L49" i="1"/>
  <c r="K39" i="1"/>
  <c r="Q39" i="1"/>
  <c r="K43" i="1"/>
  <c r="Q43" i="1"/>
  <c r="K46" i="1"/>
  <c r="Q46" i="1"/>
  <c r="K50" i="1"/>
  <c r="Q50" i="1"/>
  <c r="K54" i="1"/>
  <c r="Q54" i="1"/>
  <c r="K58" i="1"/>
  <c r="Q58" i="1"/>
  <c r="K41" i="1"/>
  <c r="Q41" i="1"/>
  <c r="L40" i="1"/>
  <c r="L44" i="1"/>
  <c r="L47" i="1"/>
  <c r="L51" i="1"/>
  <c r="L55" i="1"/>
  <c r="L59" i="1"/>
  <c r="L56" i="1"/>
  <c r="L42" i="1"/>
  <c r="Q40" i="1"/>
  <c r="K40" i="1"/>
  <c r="Q44" i="1"/>
  <c r="K44" i="1"/>
  <c r="K47" i="1"/>
  <c r="Q47" i="1"/>
  <c r="K51" i="1"/>
  <c r="Q51" i="1"/>
  <c r="K55" i="1"/>
  <c r="Q55" i="1"/>
  <c r="K59" i="1"/>
  <c r="Q59" i="1"/>
  <c r="Q48" i="1"/>
  <c r="K48" i="1"/>
  <c r="Q52" i="1"/>
  <c r="K52" i="1"/>
  <c r="Q56" i="1"/>
  <c r="K56" i="1"/>
  <c r="Q60" i="1"/>
  <c r="K60" i="1"/>
  <c r="L57" i="1"/>
  <c r="L41" i="1"/>
  <c r="L60" i="1"/>
  <c r="L53" i="1"/>
  <c r="K42" i="1"/>
  <c r="Q42" i="1"/>
  <c r="K45" i="1"/>
  <c r="Q45" i="1"/>
  <c r="K49" i="1"/>
  <c r="Q49" i="1"/>
  <c r="K53" i="1"/>
  <c r="Q53" i="1"/>
  <c r="K57" i="1"/>
  <c r="Q57" i="1"/>
  <c r="L52" i="1"/>
  <c r="L45" i="1"/>
  <c r="L39" i="1"/>
  <c r="L43" i="1"/>
  <c r="L46" i="1"/>
  <c r="L50" i="1"/>
  <c r="L54" i="1"/>
  <c r="L58" i="1"/>
  <c r="Q74" i="1"/>
  <c r="K74" i="1"/>
  <c r="Q78" i="1"/>
  <c r="K78" i="1"/>
  <c r="Q70" i="1"/>
  <c r="K70" i="1"/>
  <c r="L63" i="1"/>
  <c r="L67" i="1"/>
  <c r="L75" i="1"/>
  <c r="L79" i="1"/>
  <c r="K63" i="1"/>
  <c r="Q63" i="1"/>
  <c r="K67" i="1"/>
  <c r="Q67" i="1"/>
  <c r="K71" i="1"/>
  <c r="Q71" i="1"/>
  <c r="K75" i="1"/>
  <c r="Q75" i="1"/>
  <c r="K79" i="1"/>
  <c r="Q79" i="1"/>
  <c r="L71" i="1"/>
  <c r="L64" i="1"/>
  <c r="L68" i="1"/>
  <c r="L72" i="1"/>
  <c r="L76" i="1"/>
  <c r="L80" i="1"/>
  <c r="Q64" i="1"/>
  <c r="K64" i="1"/>
  <c r="Q68" i="1"/>
  <c r="K68" i="1"/>
  <c r="K72" i="1"/>
  <c r="Q72" i="1"/>
  <c r="Q76" i="1"/>
  <c r="K76" i="1"/>
  <c r="K80" i="1"/>
  <c r="Q80" i="1"/>
  <c r="Q62" i="1"/>
  <c r="K62" i="1"/>
  <c r="L65" i="1"/>
  <c r="L73" i="1"/>
  <c r="L81" i="1"/>
  <c r="K61" i="1"/>
  <c r="Q61" i="1"/>
  <c r="K65" i="1"/>
  <c r="Q65" i="1"/>
  <c r="K69" i="1"/>
  <c r="Q69" i="1"/>
  <c r="K73" i="1"/>
  <c r="Q73" i="1"/>
  <c r="K77" i="1"/>
  <c r="Q77" i="1"/>
  <c r="K81" i="1"/>
  <c r="Q81" i="1"/>
  <c r="Q66" i="1"/>
  <c r="K66" i="1"/>
  <c r="L61" i="1"/>
  <c r="L69" i="1"/>
  <c r="L77" i="1"/>
  <c r="L62" i="1"/>
  <c r="L66" i="1"/>
  <c r="L70" i="1"/>
  <c r="L74" i="1"/>
  <c r="L78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19" i="1"/>
  <c r="D48" i="3" a="1"/>
  <c r="D48" i="3" s="1"/>
  <c r="E48" i="3" a="1"/>
  <c r="E48" i="3" s="1"/>
  <c r="XER303" i="1"/>
  <c r="AA36" i="3"/>
  <c r="Z42" i="3" s="1" a="1"/>
  <c r="Z42" i="3" s="1"/>
  <c r="Z36" i="3"/>
  <c r="Z37" i="3" s="1" a="1"/>
  <c r="Z37" i="3" s="1"/>
  <c r="U82" i="1" l="1"/>
  <c r="AA39" i="3" a="1"/>
  <c r="AA39" i="3" s="1"/>
  <c r="Z40" i="3"/>
  <c r="AA40" i="3"/>
  <c r="AB36" i="3"/>
  <c r="R82" i="1" l="1"/>
  <c r="AB40" i="3"/>
  <c r="Z45" i="3" s="1"/>
  <c r="G23" i="3" l="1"/>
  <c r="G49" i="3" s="1"/>
  <c r="G10" i="3"/>
  <c r="G37" i="3"/>
  <c r="G46" i="3" s="1"/>
  <c r="V45" i="3"/>
  <c r="G11" i="3" l="1"/>
  <c r="G13" i="3"/>
  <c r="G24" i="3"/>
  <c r="G29" i="3" s="1"/>
  <c r="G31" i="3" s="1"/>
  <c r="G33" i="3" s="1"/>
  <c r="G12" i="3" l="1"/>
  <c r="G48" i="3"/>
  <c r="L82" i="1"/>
  <c r="F23" i="3" l="1"/>
  <c r="F24" i="3" s="1"/>
  <c r="F29" i="3" s="1"/>
  <c r="F31" i="3" s="1"/>
  <c r="F33" i="3" s="1"/>
  <c r="F10" i="3"/>
  <c r="I10" i="3" s="1"/>
  <c r="F37" i="3"/>
  <c r="F46" i="3" s="1"/>
  <c r="F48" i="3" l="1"/>
  <c r="F11" i="3"/>
  <c r="F12" i="3" l="1"/>
  <c r="I12" i="3" s="1"/>
  <c r="I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<sst xmlns="http://schemas.openxmlformats.org/spreadsheetml/2006/main" count="123" uniqueCount="106">
  <si>
    <t>WGP</t>
  </si>
  <si>
    <t>2023</t>
  </si>
  <si>
    <t>2024</t>
  </si>
  <si>
    <t>minimumloon</t>
  </si>
  <si>
    <t>1 juli 2024</t>
  </si>
  <si>
    <t>Verschil</t>
  </si>
  <si>
    <t>Totalen</t>
  </si>
  <si>
    <t>Brutolonen</t>
  </si>
  <si>
    <t>Totale personeelskosten</t>
  </si>
  <si>
    <t xml:space="preserve">De compensatie vanwege de nieuwe wgp is </t>
  </si>
  <si>
    <t>Werkgeverspremie 2023 (WGP) 13.4%</t>
  </si>
  <si>
    <t>Werkgeverspremie 2024 (WGP) 11.9%</t>
  </si>
  <si>
    <t>Quincena</t>
  </si>
  <si>
    <t>Maandloon</t>
  </si>
  <si>
    <t>uitbetalings deel</t>
  </si>
  <si>
    <t>leeftijd percentage</t>
  </si>
  <si>
    <t>uitbper</t>
  </si>
  <si>
    <t>deelfactor</t>
  </si>
  <si>
    <t>Uurloon</t>
  </si>
  <si>
    <t>wgp_2023</t>
  </si>
  <si>
    <t>WGP_2024</t>
  </si>
  <si>
    <t>13 maand</t>
  </si>
  <si>
    <t>Ja</t>
  </si>
  <si>
    <t>aantal uitbetalingen</t>
  </si>
  <si>
    <t>aantal uitb</t>
  </si>
  <si>
    <t>??</t>
  </si>
  <si>
    <t>WEB</t>
  </si>
  <si>
    <t>..</t>
  </si>
  <si>
    <t>Total</t>
  </si>
  <si>
    <t>min2023</t>
  </si>
  <si>
    <t>min202401</t>
  </si>
  <si>
    <t>min202402</t>
  </si>
  <si>
    <t>FunctieNaam</t>
  </si>
  <si>
    <t>Bedrijfsleider</t>
  </si>
  <si>
    <t>Teamleider</t>
  </si>
  <si>
    <t>Schoonmaakster</t>
  </si>
  <si>
    <t>Metselaar</t>
  </si>
  <si>
    <t>Timmerman</t>
  </si>
  <si>
    <t>Secretaresse</t>
  </si>
  <si>
    <t>Boekhouder</t>
  </si>
  <si>
    <t>Telefooniste</t>
  </si>
  <si>
    <t>Schilder</t>
  </si>
  <si>
    <t>Directeur</t>
  </si>
  <si>
    <t>Beveiliging sr</t>
  </si>
  <si>
    <t>Beveiliging jr</t>
  </si>
  <si>
    <t>Kok</t>
  </si>
  <si>
    <t>Kassamedewerker</t>
  </si>
  <si>
    <t>Keukenmedewerker</t>
  </si>
  <si>
    <t>Bediening</t>
  </si>
  <si>
    <t>Administratie</t>
  </si>
  <si>
    <t>Helper</t>
  </si>
  <si>
    <t>Frontdesk</t>
  </si>
  <si>
    <t>Housekeeping</t>
  </si>
  <si>
    <t>Maintance</t>
  </si>
  <si>
    <t>Waiter</t>
  </si>
  <si>
    <t>Bartender</t>
  </si>
  <si>
    <t>21 aña òf mas</t>
  </si>
  <si>
    <t>Edat</t>
  </si>
  <si>
    <t>Disclaimer: Kalkulashonnan ku por wòrdu hasí riba e wèpsait aki ta indikativo. E kalkulashonnan aki no ta duna derecho.</t>
  </si>
  <si>
    <t>Tampoko por derivá derechonan for di kalkulashonnan ku ta wòrdu realisá dor di software ku ta wòrdu pone disponibel riba e wèpsait komo download òf di otro manera.</t>
  </si>
  <si>
    <t>Kalkulashon di gastu di personal</t>
  </si>
  <si>
    <t>Nombre</t>
  </si>
  <si>
    <t>Nòmber di funshon</t>
  </si>
  <si>
    <t>Periodo di pago</t>
  </si>
  <si>
    <t>Parttime</t>
  </si>
  <si>
    <t>Gratifikashon  2023</t>
  </si>
  <si>
    <t>Oranan pa siman</t>
  </si>
  <si>
    <t>Pagá Salario Nov 2023</t>
  </si>
  <si>
    <t>Salario Annual 2023</t>
  </si>
  <si>
    <t>di 13 luna 2023</t>
  </si>
  <si>
    <t>Ora di pago kalkulá 11-23 ( $7.13)</t>
  </si>
  <si>
    <t>Tampoko por derivá derechonan for di kalkulashonnan ku ta resultá di:
dor di software ku por download òf ku ta disponibel via e wèpsait aki.</t>
  </si>
  <si>
    <t>gastu di personal</t>
  </si>
  <si>
    <t>Anja</t>
  </si>
  <si>
    <t>Ventas</t>
  </si>
  <si>
    <t>Kosnan direkto</t>
  </si>
  <si>
    <t>Gastu di personal</t>
  </si>
  <si>
    <t>Total di gastu direkto</t>
  </si>
  <si>
    <t>Gross Profit</t>
  </si>
  <si>
    <t>Margen Bruto</t>
  </si>
  <si>
    <t>Gastunan indirekto</t>
  </si>
  <si>
    <t>Renta</t>
  </si>
  <si>
    <t>Depresiashon</t>
  </si>
  <si>
    <t>Vehíkulonan</t>
  </si>
  <si>
    <t>Total di gastu indirekto</t>
  </si>
  <si>
    <t>Ganashi neta</t>
  </si>
  <si>
    <t>Trahadónan temporal</t>
  </si>
  <si>
    <t>Sueldo mínimo</t>
  </si>
  <si>
    <t>Persentage</t>
  </si>
  <si>
    <t>min202501</t>
  </si>
  <si>
    <t>WGP_2025</t>
  </si>
  <si>
    <t>```</t>
  </si>
  <si>
    <t>di 13 luna 2026</t>
  </si>
  <si>
    <t>Gratifikashon 2026</t>
  </si>
  <si>
    <t>Pagá Salario  2026</t>
  </si>
  <si>
    <t>Ora di pago kalkulá 01-26</t>
  </si>
  <si>
    <t>Salario Annual  2026</t>
  </si>
  <si>
    <t>Jan-26</t>
  </si>
  <si>
    <t>min202601</t>
  </si>
  <si>
    <t>WGP_2026</t>
  </si>
  <si>
    <t>Fakansi % 2026</t>
  </si>
  <si>
    <t>Fakansi %  2023</t>
  </si>
  <si>
    <t>WPG kompensashon (13.4% - 10.3%)</t>
  </si>
  <si>
    <t>Diferensia 23-26</t>
  </si>
  <si>
    <t>leeg</t>
  </si>
  <si>
    <t>leeg2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</si>
</sst>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00439A"/>
      <name val="Calibri"/>
      <family val="2"/>
      <scheme val="minor"/>
    </font>
    <font>
      <b/>
      <sz val="20"/>
      <color rgb="FF00439A"/>
      <name val="Calibri"/>
      <family val="2"/>
      <scheme val="minor"/>
    </font>
    <font>
      <b/>
      <sz val="11"/>
      <color rgb="FF00439A"/>
      <name val="Calibri"/>
      <family val="2"/>
      <scheme val="minor"/>
    </font>
    <font>
      <sz val="10"/>
      <color rgb="FF00439A"/>
      <name val="Calibri"/>
      <family val="2"/>
      <scheme val="minor"/>
    </font>
    <font>
      <b/>
      <sz val="18"/>
      <color rgb="FF00439A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439A"/>
      <name val="Calibri"/>
      <family val="2"/>
      <scheme val="minor"/>
    </font>
    <font>
      <sz val="11"/>
      <color rgb="FF00439A"/>
      <name val="Calibri"/>
      <family val="2"/>
      <scheme val="minor"/>
    </font>
    <font>
      <sz val="20"/>
      <color rgb="FF00439A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rgb="FF00439A"/>
      <name val="Calibri"/>
      <family val="2"/>
      <scheme val="minor"/>
    </font>
    <font>
      <sz val="1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CFFD5"/>
        <bgColor indexed="64"/>
      </patternFill>
    </fill>
    <fill>
      <patternFill patternType="solid">
        <fgColor rgb="FFFFF489"/>
        <bgColor indexed="64"/>
      </patternFill>
    </fill>
    <fill>
      <patternFill patternType="solid">
        <fgColor rgb="FFFFF275"/>
        <bgColor indexed="64"/>
      </patternFill>
    </fill>
    <fill>
      <patternFill patternType="solid">
        <fgColor rgb="FFE5F7F5"/>
        <bgColor indexed="64"/>
      </patternFill>
    </fill>
  </fills>
  <borders count="42">
    <border>
      <left/>
      <right/>
      <top/>
      <bottom/>
      <diagonal/>
    </border>
    <border diagonalUp="1" diagonalDown="1">
      <left/>
      <right/>
      <top/>
      <bottom/>
      <diagonal style="thin">
        <color auto="1"/>
      </diagonal>
    </border>
    <border>
      <left/>
      <right/>
      <top style="thick">
        <color rgb="FF00439A"/>
      </top>
      <bottom/>
      <diagonal/>
    </border>
    <border>
      <left style="thick">
        <color rgb="FF00439A"/>
      </left>
      <right/>
      <top/>
      <bottom/>
      <diagonal/>
    </border>
    <border>
      <left style="thick">
        <color rgb="FF00439A"/>
      </left>
      <right/>
      <top/>
      <bottom style="thick">
        <color rgb="FF00439A"/>
      </bottom>
      <diagonal/>
    </border>
    <border>
      <left/>
      <right/>
      <top/>
      <bottom style="thick">
        <color rgb="FF00439A"/>
      </bottom>
      <diagonal/>
    </border>
    <border>
      <left style="thick">
        <color rgb="FF00439A"/>
      </left>
      <right/>
      <top style="thick">
        <color rgb="FF00439A"/>
      </top>
      <bottom style="thick">
        <color rgb="FF00439A"/>
      </bottom>
      <diagonal/>
    </border>
    <border>
      <left/>
      <right/>
      <top style="thick">
        <color rgb="FF00439A"/>
      </top>
      <bottom style="thick">
        <color rgb="FF00439A"/>
      </bottom>
      <diagonal/>
    </border>
    <border>
      <left style="thick">
        <color rgb="FF00439A"/>
      </left>
      <right style="thick">
        <color rgb="FF00439A"/>
      </right>
      <top style="thick">
        <color rgb="FF00439A"/>
      </top>
      <bottom style="thick">
        <color rgb="FF00439A"/>
      </bottom>
      <diagonal/>
    </border>
    <border>
      <left style="medium">
        <color rgb="FF00439A"/>
      </left>
      <right style="thick">
        <color rgb="FF00439A"/>
      </right>
      <top style="thick">
        <color rgb="FF00439A"/>
      </top>
      <bottom style="thick">
        <color rgb="FF00439A"/>
      </bottom>
      <diagonal/>
    </border>
    <border>
      <left style="thick">
        <color rgb="FF00439A"/>
      </left>
      <right style="thick">
        <color rgb="FF00439A"/>
      </right>
      <top style="thick">
        <color rgb="FF00439A"/>
      </top>
      <bottom/>
      <diagonal/>
    </border>
    <border>
      <left style="thick">
        <color rgb="FF00439A"/>
      </left>
      <right style="thick">
        <color rgb="FF00439A"/>
      </right>
      <top/>
      <bottom/>
      <diagonal/>
    </border>
    <border>
      <left style="thick">
        <color rgb="FF00439A"/>
      </left>
      <right style="thick">
        <color rgb="FF00439A"/>
      </right>
      <top/>
      <bottom style="thick">
        <color rgb="FF00439A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rgb="FFFFE600"/>
      </right>
      <top style="medium">
        <color indexed="64"/>
      </top>
      <bottom style="dashed">
        <color rgb="FFFFE600"/>
      </bottom>
      <diagonal/>
    </border>
    <border>
      <left style="dashed">
        <color rgb="FFFFE600"/>
      </left>
      <right style="dashed">
        <color rgb="FFFFE600"/>
      </right>
      <top style="medium">
        <color indexed="64"/>
      </top>
      <bottom style="dashed">
        <color rgb="FFFFE600"/>
      </bottom>
      <diagonal/>
    </border>
    <border>
      <left style="medium">
        <color indexed="64"/>
      </left>
      <right style="dashed">
        <color rgb="FFFFE600"/>
      </right>
      <top style="dashed">
        <color rgb="FFFFE600"/>
      </top>
      <bottom style="dashed">
        <color rgb="FFFFE600"/>
      </bottom>
      <diagonal/>
    </border>
    <border>
      <left style="dashed">
        <color rgb="FFFFE600"/>
      </left>
      <right style="dashed">
        <color rgb="FFFFE600"/>
      </right>
      <top style="dashed">
        <color rgb="FFFFE600"/>
      </top>
      <bottom style="dashed">
        <color rgb="FFFFE600"/>
      </bottom>
      <diagonal/>
    </border>
    <border>
      <left/>
      <right style="thin">
        <color indexed="64"/>
      </right>
      <top/>
      <bottom/>
      <diagonal/>
    </border>
    <border>
      <left/>
      <right style="dashed">
        <color rgb="FFFFE600"/>
      </right>
      <top style="medium">
        <color indexed="64"/>
      </top>
      <bottom style="dashed">
        <color rgb="FFFFE600"/>
      </bottom>
      <diagonal/>
    </border>
    <border>
      <left/>
      <right style="dashed">
        <color rgb="FFFFE600"/>
      </right>
      <top style="dashed">
        <color rgb="FFFFE600"/>
      </top>
      <bottom style="dashed">
        <color rgb="FFFFE600"/>
      </bottom>
      <diagonal/>
    </border>
    <border>
      <left style="medium">
        <color indexed="64"/>
      </left>
      <right style="dashed">
        <color rgb="FFFFE600"/>
      </right>
      <top style="dashed">
        <color rgb="FFFFE600"/>
      </top>
      <bottom/>
      <diagonal/>
    </border>
    <border>
      <left/>
      <right style="dashed">
        <color rgb="FFFFE600"/>
      </right>
      <top style="dashed">
        <color rgb="FFFFE600"/>
      </top>
      <bottom/>
      <diagonal/>
    </border>
    <border>
      <left style="dashed">
        <color rgb="FFFFE600"/>
      </left>
      <right style="dashed">
        <color rgb="FFFFE600"/>
      </right>
      <top style="dashed">
        <color rgb="FFFFE6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rgb="FFFFE600"/>
      </top>
      <bottom style="dashed">
        <color rgb="FFFFE600"/>
      </bottom>
      <diagonal/>
    </border>
    <border>
      <left/>
      <right style="dashed">
        <color rgb="FFFFE600"/>
      </right>
      <top/>
      <bottom style="dashed">
        <color rgb="FFFFE600"/>
      </bottom>
      <diagonal/>
    </border>
    <border>
      <left/>
      <right style="medium">
        <color indexed="64"/>
      </right>
      <top style="dashed">
        <color rgb="FFFFE600"/>
      </top>
      <bottom style="dashed">
        <color rgb="FFFFE600"/>
      </bottom>
      <diagonal/>
    </border>
    <border>
      <left/>
      <right style="medium">
        <color indexed="64"/>
      </right>
      <top style="dashed">
        <color rgb="FFFFE600"/>
      </top>
      <bottom/>
      <diagonal/>
    </border>
    <border>
      <left style="dashed">
        <color rgb="FFFFE600"/>
      </left>
      <right style="dashed">
        <color rgb="FFFFE600"/>
      </right>
      <top style="dashed">
        <color rgb="FFFFE600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10" fontId="0" fillId="0" borderId="0" xfId="0" applyNumberFormat="1"/>
    <xf numFmtId="44" fontId="0" fillId="0" borderId="0" xfId="1" applyFont="1"/>
    <xf numFmtId="0" fontId="0" fillId="0" borderId="1" xfId="0" applyBorder="1"/>
    <xf numFmtId="14" fontId="0" fillId="0" borderId="0" xfId="0" quotePrefix="1" applyNumberFormat="1"/>
    <xf numFmtId="44" fontId="0" fillId="0" borderId="0" xfId="0" applyNumberFormat="1"/>
    <xf numFmtId="44" fontId="3" fillId="2" borderId="6" xfId="1" applyFont="1" applyFill="1" applyBorder="1" applyProtection="1"/>
    <xf numFmtId="44" fontId="3" fillId="2" borderId="7" xfId="1" applyFont="1" applyFill="1" applyBorder="1" applyProtection="1"/>
    <xf numFmtId="44" fontId="3" fillId="2" borderId="7" xfId="1" applyFont="1" applyFill="1" applyBorder="1" applyAlignment="1" applyProtection="1"/>
    <xf numFmtId="0" fontId="3" fillId="2" borderId="8" xfId="1" applyNumberFormat="1" applyFont="1" applyFill="1" applyBorder="1" applyProtection="1"/>
    <xf numFmtId="0" fontId="3" fillId="2" borderId="7" xfId="1" applyNumberFormat="1" applyFont="1" applyFill="1" applyBorder="1" applyProtection="1"/>
    <xf numFmtId="44" fontId="3" fillId="2" borderId="9" xfId="1" applyFont="1" applyFill="1" applyBorder="1" applyAlignment="1" applyProtection="1">
      <alignment horizontal="right"/>
    </xf>
    <xf numFmtId="44" fontId="3" fillId="2" borderId="3" xfId="1" applyFont="1" applyFill="1" applyBorder="1" applyAlignment="1" applyProtection="1">
      <alignment horizontal="left"/>
    </xf>
    <xf numFmtId="44" fontId="3" fillId="2" borderId="0" xfId="1" applyFont="1" applyFill="1" applyBorder="1" applyAlignment="1" applyProtection="1">
      <alignment horizontal="left"/>
    </xf>
    <xf numFmtId="44" fontId="3" fillId="2" borderId="11" xfId="1" applyFont="1" applyFill="1" applyBorder="1" applyProtection="1"/>
    <xf numFmtId="44" fontId="3" fillId="2" borderId="0" xfId="1" applyFont="1" applyFill="1" applyBorder="1" applyProtection="1"/>
    <xf numFmtId="44" fontId="3" fillId="2" borderId="3" xfId="1" applyFont="1" applyFill="1" applyBorder="1" applyProtection="1"/>
    <xf numFmtId="44" fontId="3" fillId="2" borderId="0" xfId="1" applyFont="1" applyFill="1" applyBorder="1" applyAlignment="1" applyProtection="1">
      <alignment horizontal="center"/>
    </xf>
    <xf numFmtId="44" fontId="3" fillId="2" borderId="5" xfId="1" applyFont="1" applyFill="1" applyBorder="1" applyProtection="1"/>
    <xf numFmtId="44" fontId="3" fillId="2" borderId="12" xfId="1" applyFont="1" applyFill="1" applyBorder="1" applyProtection="1"/>
    <xf numFmtId="44" fontId="6" fillId="2" borderId="0" xfId="1" applyFont="1" applyFill="1" applyBorder="1" applyAlignment="1" applyProtection="1">
      <alignment vertical="top"/>
    </xf>
    <xf numFmtId="44" fontId="7" fillId="2" borderId="12" xfId="1" applyFont="1" applyFill="1" applyBorder="1" applyAlignment="1" applyProtection="1">
      <alignment vertical="top"/>
    </xf>
    <xf numFmtId="44" fontId="3" fillId="2" borderId="10" xfId="1" applyFont="1" applyFill="1" applyBorder="1" applyProtection="1"/>
    <xf numFmtId="44" fontId="3" fillId="2" borderId="2" xfId="1" applyFont="1" applyFill="1" applyBorder="1" applyProtection="1"/>
    <xf numFmtId="0" fontId="8" fillId="0" borderId="0" xfId="0" applyFont="1"/>
    <xf numFmtId="44" fontId="0" fillId="0" borderId="0" xfId="1" applyFont="1" applyFill="1" applyBorder="1"/>
    <xf numFmtId="0" fontId="9" fillId="0" borderId="0" xfId="0" applyFont="1"/>
    <xf numFmtId="10" fontId="9" fillId="0" borderId="0" xfId="0" applyNumberFormat="1" applyFont="1"/>
    <xf numFmtId="9" fontId="9" fillId="0" borderId="0" xfId="2" applyFont="1"/>
    <xf numFmtId="44" fontId="9" fillId="0" borderId="0" xfId="0" applyNumberFormat="1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17" fontId="9" fillId="0" borderId="0" xfId="0" applyNumberFormat="1" applyFont="1"/>
    <xf numFmtId="44" fontId="9" fillId="0" borderId="0" xfId="2" applyNumberFormat="1" applyFont="1"/>
    <xf numFmtId="0" fontId="0" fillId="2" borderId="16" xfId="0" applyFill="1" applyBorder="1"/>
    <xf numFmtId="0" fontId="0" fillId="2" borderId="0" xfId="0" applyFill="1"/>
    <xf numFmtId="0" fontId="6" fillId="2" borderId="16" xfId="1" quotePrefix="1" applyNumberFormat="1" applyFont="1" applyFill="1" applyBorder="1" applyAlignment="1" applyProtection="1">
      <alignment horizontal="left"/>
    </xf>
    <xf numFmtId="44" fontId="5" fillId="4" borderId="21" xfId="1" applyFont="1" applyFill="1" applyBorder="1" applyAlignment="1">
      <alignment horizontal="right" vertical="center"/>
    </xf>
    <xf numFmtId="0" fontId="5" fillId="4" borderId="22" xfId="1" applyNumberFormat="1" applyFont="1" applyFill="1" applyBorder="1" applyAlignment="1">
      <alignment horizontal="right" vertical="center"/>
    </xf>
    <xf numFmtId="44" fontId="5" fillId="4" borderId="23" xfId="1" applyFont="1" applyFill="1" applyBorder="1" applyAlignment="1">
      <alignment horizontal="right" vertical="center"/>
    </xf>
    <xf numFmtId="44" fontId="5" fillId="3" borderId="24" xfId="1" applyFont="1" applyFill="1" applyBorder="1" applyAlignment="1">
      <alignment horizontal="right" vertical="center"/>
    </xf>
    <xf numFmtId="44" fontId="10" fillId="4" borderId="23" xfId="1" applyFont="1" applyFill="1" applyBorder="1" applyAlignment="1">
      <alignment horizontal="right" vertical="center"/>
    </xf>
    <xf numFmtId="44" fontId="10" fillId="2" borderId="24" xfId="1" applyFont="1" applyFill="1" applyBorder="1" applyAlignment="1">
      <alignment horizontal="right" vertical="center"/>
    </xf>
    <xf numFmtId="9" fontId="5" fillId="3" borderId="24" xfId="2" applyFont="1" applyFill="1" applyBorder="1" applyAlignment="1">
      <alignment horizontal="right" vertical="center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44" fontId="11" fillId="0" borderId="0" xfId="1" applyFont="1" applyFill="1" applyBorder="1" applyAlignment="1" applyProtection="1">
      <alignment horizontal="left" vertical="center"/>
    </xf>
    <xf numFmtId="44" fontId="10" fillId="2" borderId="24" xfId="1" applyFont="1" applyFill="1" applyBorder="1" applyAlignment="1" applyProtection="1">
      <alignment horizontal="right" vertical="center"/>
      <protection locked="0"/>
    </xf>
    <xf numFmtId="44" fontId="5" fillId="4" borderId="26" xfId="1" applyFont="1" applyFill="1" applyBorder="1" applyAlignment="1">
      <alignment horizontal="right" vertical="center"/>
    </xf>
    <xf numFmtId="44" fontId="5" fillId="4" borderId="27" xfId="1" applyFont="1" applyFill="1" applyBorder="1" applyAlignment="1">
      <alignment horizontal="right" vertical="center"/>
    </xf>
    <xf numFmtId="44" fontId="10" fillId="4" borderId="27" xfId="1" applyFont="1" applyFill="1" applyBorder="1" applyAlignment="1">
      <alignment horizontal="right" vertical="center"/>
    </xf>
    <xf numFmtId="44" fontId="5" fillId="4" borderId="28" xfId="1" applyFont="1" applyFill="1" applyBorder="1" applyAlignment="1">
      <alignment horizontal="right" vertical="center"/>
    </xf>
    <xf numFmtId="44" fontId="5" fillId="4" borderId="29" xfId="1" applyFont="1" applyFill="1" applyBorder="1" applyAlignment="1">
      <alignment horizontal="right" vertical="center"/>
    </xf>
    <xf numFmtId="44" fontId="5" fillId="3" borderId="30" xfId="1" applyFont="1" applyFill="1" applyBorder="1" applyAlignment="1">
      <alignment horizontal="right" vertical="center"/>
    </xf>
    <xf numFmtId="44" fontId="5" fillId="4" borderId="19" xfId="1" applyFont="1" applyFill="1" applyBorder="1" applyAlignment="1">
      <alignment horizontal="right" vertical="center"/>
    </xf>
    <xf numFmtId="44" fontId="5" fillId="4" borderId="20" xfId="1" applyFont="1" applyFill="1" applyBorder="1" applyAlignment="1">
      <alignment horizontal="right" vertical="center"/>
    </xf>
    <xf numFmtId="0" fontId="9" fillId="0" borderId="0" xfId="0" applyFont="1" applyProtection="1">
      <protection locked="0"/>
    </xf>
    <xf numFmtId="44" fontId="10" fillId="4" borderId="35" xfId="1" applyFont="1" applyFill="1" applyBorder="1" applyAlignment="1">
      <alignment horizontal="right" vertical="center"/>
    </xf>
    <xf numFmtId="44" fontId="10" fillId="2" borderId="27" xfId="1" applyFont="1" applyFill="1" applyBorder="1" applyAlignment="1" applyProtection="1">
      <alignment horizontal="right" vertical="center"/>
      <protection locked="0"/>
    </xf>
    <xf numFmtId="44" fontId="10" fillId="4" borderId="36" xfId="1" applyFont="1" applyFill="1" applyBorder="1" applyAlignment="1">
      <alignment horizontal="right" vertical="center"/>
    </xf>
    <xf numFmtId="44" fontId="10" fillId="2" borderId="31" xfId="1" applyFont="1" applyFill="1" applyBorder="1" applyAlignment="1" applyProtection="1">
      <alignment horizontal="right" vertical="center"/>
      <protection locked="0"/>
    </xf>
    <xf numFmtId="44" fontId="9" fillId="0" borderId="0" xfId="1" applyFont="1" applyProtection="1"/>
    <xf numFmtId="2" fontId="9" fillId="0" borderId="0" xfId="1" applyNumberFormat="1" applyFont="1" applyProtection="1"/>
    <xf numFmtId="0" fontId="4" fillId="2" borderId="0" xfId="0" applyFont="1" applyFill="1" applyAlignment="1">
      <alignment vertical="top"/>
    </xf>
    <xf numFmtId="0" fontId="0" fillId="2" borderId="17" xfId="0" applyFill="1" applyBorder="1"/>
    <xf numFmtId="0" fontId="4" fillId="2" borderId="0" xfId="0" applyFont="1" applyFill="1" applyAlignment="1">
      <alignment vertical="top" wrapText="1"/>
    </xf>
    <xf numFmtId="0" fontId="0" fillId="2" borderId="0" xfId="0" applyFill="1" applyAlignment="1">
      <alignment wrapText="1"/>
    </xf>
    <xf numFmtId="0" fontId="13" fillId="0" borderId="0" xfId="0" applyFont="1"/>
    <xf numFmtId="0" fontId="0" fillId="3" borderId="32" xfId="0" applyFill="1" applyBorder="1"/>
    <xf numFmtId="0" fontId="0" fillId="3" borderId="33" xfId="0" applyFill="1" applyBorder="1"/>
    <xf numFmtId="44" fontId="0" fillId="3" borderId="33" xfId="0" applyNumberFormat="1" applyFill="1" applyBorder="1"/>
    <xf numFmtId="44" fontId="0" fillId="3" borderId="34" xfId="0" applyNumberFormat="1" applyFill="1" applyBorder="1"/>
    <xf numFmtId="0" fontId="9" fillId="0" borderId="0" xfId="0" applyFont="1" applyAlignment="1">
      <alignment vertical="center"/>
    </xf>
    <xf numFmtId="44" fontId="5" fillId="4" borderId="23" xfId="1" applyFont="1" applyFill="1" applyBorder="1" applyAlignment="1">
      <alignment horizontal="right" vertical="center" wrapText="1"/>
    </xf>
    <xf numFmtId="44" fontId="9" fillId="0" borderId="0" xfId="1" applyFont="1" applyFill="1" applyProtection="1"/>
    <xf numFmtId="44" fontId="9" fillId="0" borderId="0" xfId="1" applyFont="1" applyFill="1" applyProtection="1">
      <protection locked="0"/>
    </xf>
    <xf numFmtId="0" fontId="15" fillId="3" borderId="13" xfId="0" applyFont="1" applyFill="1" applyBorder="1"/>
    <xf numFmtId="0" fontId="15" fillId="3" borderId="14" xfId="0" applyFont="1" applyFill="1" applyBorder="1"/>
    <xf numFmtId="0" fontId="16" fillId="3" borderId="14" xfId="0" applyFont="1" applyFill="1" applyBorder="1"/>
    <xf numFmtId="44" fontId="17" fillId="3" borderId="0" xfId="1" applyFont="1" applyFill="1" applyBorder="1" applyAlignment="1" applyProtection="1">
      <alignment horizontal="right" vertical="center"/>
      <protection locked="0"/>
    </xf>
    <xf numFmtId="0" fontId="10" fillId="5" borderId="3" xfId="0" applyFont="1" applyFill="1" applyBorder="1" applyProtection="1">
      <protection locked="0"/>
    </xf>
    <xf numFmtId="0" fontId="10" fillId="2" borderId="3" xfId="0" applyFont="1" applyFill="1" applyBorder="1" applyProtection="1">
      <protection locked="0"/>
    </xf>
    <xf numFmtId="0" fontId="10" fillId="2" borderId="0" xfId="0" applyFont="1" applyFill="1" applyProtection="1">
      <protection locked="0"/>
    </xf>
    <xf numFmtId="0" fontId="10" fillId="0" borderId="0" xfId="0" applyFont="1" applyProtection="1">
      <protection locked="0"/>
    </xf>
    <xf numFmtId="10" fontId="10" fillId="0" borderId="0" xfId="0" applyNumberFormat="1" applyFont="1" applyProtection="1">
      <protection locked="0"/>
    </xf>
    <xf numFmtId="0" fontId="10" fillId="0" borderId="0" xfId="2" applyNumberFormat="1" applyFont="1" applyFill="1" applyBorder="1" applyAlignment="1" applyProtection="1">
      <alignment horizontal="right" vertical="center"/>
      <protection locked="0"/>
    </xf>
    <xf numFmtId="44" fontId="10" fillId="0" borderId="0" xfId="1" applyFont="1" applyFill="1" applyBorder="1" applyAlignment="1" applyProtection="1">
      <alignment horizontal="right" vertical="center"/>
      <protection locked="0"/>
    </xf>
    <xf numFmtId="10" fontId="10" fillId="0" borderId="0" xfId="2" applyNumberFormat="1" applyFont="1" applyFill="1" applyBorder="1" applyAlignment="1" applyProtection="1">
      <alignment horizontal="right" vertical="center"/>
      <protection locked="0"/>
    </xf>
    <xf numFmtId="0" fontId="10" fillId="0" borderId="0" xfId="1" applyNumberFormat="1" applyFont="1" applyFill="1" applyBorder="1" applyAlignment="1" applyProtection="1">
      <alignment horizontal="right" vertical="center"/>
      <protection locked="0"/>
    </xf>
    <xf numFmtId="44" fontId="10" fillId="0" borderId="0" xfId="1" applyFont="1" applyFill="1" applyBorder="1" applyProtection="1">
      <protection locked="0"/>
    </xf>
    <xf numFmtId="0" fontId="10" fillId="5" borderId="0" xfId="0" applyFont="1" applyFill="1" applyProtection="1">
      <protection locked="0"/>
    </xf>
    <xf numFmtId="0" fontId="10" fillId="0" borderId="3" xfId="0" applyFont="1" applyBorder="1" applyProtection="1">
      <protection locked="0"/>
    </xf>
    <xf numFmtId="16" fontId="9" fillId="0" borderId="0" xfId="0" quotePrefix="1" applyNumberFormat="1" applyFont="1"/>
    <xf numFmtId="44" fontId="9" fillId="0" borderId="0" xfId="1" applyFont="1"/>
    <xf numFmtId="0" fontId="4" fillId="2" borderId="25" xfId="0" applyFont="1" applyFill="1" applyBorder="1" applyAlignment="1">
      <alignment vertical="top"/>
    </xf>
    <xf numFmtId="44" fontId="3" fillId="3" borderId="16" xfId="1" applyFont="1" applyFill="1" applyBorder="1" applyAlignment="1">
      <alignment horizontal="right" vertical="center"/>
    </xf>
    <xf numFmtId="44" fontId="17" fillId="3" borderId="0" xfId="1" applyFont="1" applyFill="1" applyBorder="1" applyAlignment="1">
      <alignment horizontal="right" vertical="center"/>
    </xf>
    <xf numFmtId="0" fontId="3" fillId="3" borderId="18" xfId="1" applyNumberFormat="1" applyFont="1" applyFill="1" applyBorder="1" applyAlignment="1">
      <alignment vertical="center"/>
    </xf>
    <xf numFmtId="0" fontId="3" fillId="3" borderId="19" xfId="1" applyNumberFormat="1" applyFont="1" applyFill="1" applyBorder="1" applyAlignment="1">
      <alignment vertical="center"/>
    </xf>
    <xf numFmtId="44" fontId="3" fillId="3" borderId="19" xfId="1" applyFont="1" applyFill="1" applyBorder="1" applyAlignment="1">
      <alignment horizontal="right" vertical="center"/>
    </xf>
    <xf numFmtId="0" fontId="0" fillId="3" borderId="19" xfId="0" applyFill="1" applyBorder="1"/>
    <xf numFmtId="0" fontId="3" fillId="3" borderId="16" xfId="1" applyNumberFormat="1" applyFont="1" applyFill="1" applyBorder="1" applyAlignment="1">
      <alignment vertical="center"/>
    </xf>
    <xf numFmtId="0" fontId="3" fillId="3" borderId="0" xfId="1" applyNumberFormat="1" applyFont="1" applyFill="1" applyBorder="1" applyAlignment="1">
      <alignment vertical="center"/>
    </xf>
    <xf numFmtId="44" fontId="3" fillId="3" borderId="0" xfId="1" applyFont="1" applyFill="1" applyBorder="1" applyAlignment="1">
      <alignment horizontal="right" vertical="center"/>
    </xf>
    <xf numFmtId="44" fontId="10" fillId="2" borderId="37" xfId="1" applyFont="1" applyFill="1" applyBorder="1" applyAlignment="1" applyProtection="1">
      <alignment horizontal="right" vertical="center"/>
      <protection locked="0"/>
    </xf>
    <xf numFmtId="44" fontId="5" fillId="3" borderId="37" xfId="1" applyFont="1" applyFill="1" applyBorder="1" applyAlignment="1">
      <alignment horizontal="right" vertical="center"/>
    </xf>
    <xf numFmtId="9" fontId="5" fillId="3" borderId="37" xfId="2" applyFont="1" applyFill="1" applyBorder="1" applyAlignment="1">
      <alignment horizontal="right" vertical="center"/>
    </xf>
    <xf numFmtId="44" fontId="5" fillId="3" borderId="38" xfId="1" applyFont="1" applyFill="1" applyBorder="1" applyAlignment="1">
      <alignment horizontal="right" vertical="center"/>
    </xf>
    <xf numFmtId="0" fontId="5" fillId="4" borderId="15" xfId="1" applyNumberFormat="1" applyFont="1" applyFill="1" applyBorder="1" applyAlignment="1">
      <alignment horizontal="right" vertical="center"/>
    </xf>
    <xf numFmtId="44" fontId="5" fillId="0" borderId="24" xfId="1" applyFont="1" applyFill="1" applyBorder="1" applyAlignment="1">
      <alignment horizontal="right" vertical="center"/>
    </xf>
    <xf numFmtId="44" fontId="5" fillId="3" borderId="39" xfId="1" applyFont="1" applyFill="1" applyBorder="1" applyAlignment="1">
      <alignment horizontal="right" vertical="center"/>
    </xf>
    <xf numFmtId="0" fontId="4" fillId="2" borderId="14" xfId="0" applyFont="1" applyFill="1" applyBorder="1" applyAlignment="1">
      <alignment horizontal="center" vertical="top"/>
    </xf>
    <xf numFmtId="0" fontId="4" fillId="2" borderId="15" xfId="0" applyFont="1" applyFill="1" applyBorder="1" applyAlignment="1">
      <alignment horizontal="center" vertical="top"/>
    </xf>
    <xf numFmtId="0" fontId="4" fillId="2" borderId="17" xfId="0" applyFont="1" applyFill="1" applyBorder="1" applyAlignment="1">
      <alignment horizontal="left" vertical="top"/>
    </xf>
    <xf numFmtId="44" fontId="5" fillId="2" borderId="19" xfId="1" applyFont="1" applyFill="1" applyBorder="1" applyAlignment="1" applyProtection="1">
      <alignment horizontal="left" vertical="center"/>
    </xf>
    <xf numFmtId="44" fontId="5" fillId="2" borderId="20" xfId="1" applyFont="1" applyFill="1" applyBorder="1" applyAlignment="1" applyProtection="1">
      <alignment horizontal="left" vertical="center"/>
    </xf>
    <xf numFmtId="0" fontId="18" fillId="4" borderId="0" xfId="0" applyFont="1" applyFill="1" applyAlignment="1">
      <alignment horizontal="right"/>
    </xf>
    <xf numFmtId="0" fontId="16" fillId="3" borderId="14" xfId="0" applyFont="1" applyFill="1" applyBorder="1" applyAlignment="1">
      <alignment horizontal="right"/>
    </xf>
    <xf numFmtId="0" fontId="16" fillId="3" borderId="15" xfId="0" applyFont="1" applyFill="1" applyBorder="1" applyAlignment="1">
      <alignment horizontal="right"/>
    </xf>
    <xf numFmtId="44" fontId="17" fillId="3" borderId="16" xfId="1" applyFont="1" applyFill="1" applyBorder="1" applyAlignment="1">
      <alignment horizontal="right" vertical="center"/>
    </xf>
    <xf numFmtId="44" fontId="3" fillId="3" borderId="17" xfId="1" applyFont="1" applyFill="1" applyBorder="1" applyAlignment="1">
      <alignment horizontal="right" vertical="center"/>
    </xf>
    <xf numFmtId="0" fontId="18" fillId="4" borderId="17" xfId="0" applyFont="1" applyFill="1" applyBorder="1" applyAlignment="1">
      <alignment horizontal="right"/>
    </xf>
    <xf numFmtId="0" fontId="18" fillId="4" borderId="19" xfId="0" applyFont="1" applyFill="1" applyBorder="1" applyAlignment="1">
      <alignment horizontal="right"/>
    </xf>
    <xf numFmtId="0" fontId="18" fillId="4" borderId="20" xfId="0" applyFont="1" applyFill="1" applyBorder="1" applyAlignment="1">
      <alignment horizontal="right"/>
    </xf>
    <xf numFmtId="0" fontId="4" fillId="2" borderId="0" xfId="0" applyFont="1" applyFill="1" applyAlignment="1">
      <alignment horizontal="left" vertical="top"/>
    </xf>
    <xf numFmtId="44" fontId="3" fillId="3" borderId="41" xfId="1" applyFont="1" applyFill="1" applyBorder="1" applyAlignment="1">
      <alignment horizontal="right" vertical="center"/>
    </xf>
    <xf numFmtId="44" fontId="3" fillId="3" borderId="40" xfId="1" applyFont="1" applyFill="1" applyBorder="1" applyAlignment="1">
      <alignment horizontal="right" vertical="center"/>
    </xf>
    <xf numFmtId="9" fontId="0" fillId="0" borderId="0" xfId="2" applyFont="1"/>
    <xf numFmtId="0" fontId="4" fillId="2" borderId="13" xfId="0" applyFont="1" applyFill="1" applyBorder="1" applyAlignment="1">
      <alignment horizontal="center" vertical="top"/>
    </xf>
    <xf numFmtId="0" fontId="4" fillId="2" borderId="14" xfId="0" applyFont="1" applyFill="1" applyBorder="1" applyAlignment="1">
      <alignment horizontal="center" vertical="top"/>
    </xf>
    <xf numFmtId="0" fontId="4" fillId="2" borderId="15" xfId="0" applyFont="1" applyFill="1" applyBorder="1" applyAlignment="1">
      <alignment horizontal="center" vertical="top"/>
    </xf>
    <xf numFmtId="0" fontId="4" fillId="2" borderId="16" xfId="0" applyFont="1" applyFill="1" applyBorder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4" fillId="2" borderId="17" xfId="0" applyFont="1" applyFill="1" applyBorder="1" applyAlignment="1">
      <alignment horizontal="left" vertical="top"/>
    </xf>
    <xf numFmtId="0" fontId="14" fillId="0" borderId="0" xfId="0" applyFont="1" applyAlignment="1">
      <alignment horizontal="center" vertical="top" wrapText="1"/>
    </xf>
    <xf numFmtId="44" fontId="5" fillId="2" borderId="18" xfId="1" applyFont="1" applyFill="1" applyBorder="1" applyAlignment="1" applyProtection="1">
      <alignment horizontal="left" vertical="center"/>
    </xf>
    <xf numFmtId="44" fontId="5" fillId="2" borderId="19" xfId="1" applyFont="1" applyFill="1" applyBorder="1" applyAlignment="1" applyProtection="1">
      <alignment horizontal="left" vertical="center"/>
    </xf>
    <xf numFmtId="44" fontId="5" fillId="2" borderId="20" xfId="1" applyFont="1" applyFill="1" applyBorder="1" applyAlignment="1" applyProtection="1">
      <alignment horizontal="left" vertical="center"/>
    </xf>
    <xf numFmtId="0" fontId="6" fillId="2" borderId="16" xfId="1" applyNumberFormat="1" applyFont="1" applyFill="1" applyBorder="1" applyAlignment="1" applyProtection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44" fontId="3" fillId="2" borderId="4" xfId="1" applyFont="1" applyFill="1" applyBorder="1" applyAlignment="1" applyProtection="1">
      <alignment horizontal="left" vertical="top" wrapText="1"/>
    </xf>
    <xf numFmtId="44" fontId="3" fillId="2" borderId="5" xfId="1" applyFont="1" applyFill="1" applyBorder="1" applyAlignment="1" applyProtection="1">
      <alignment horizontal="left" vertical="top" wrapText="1"/>
    </xf>
    <xf numFmtId="0" fontId="5" fillId="4" borderId="18" xfId="1" applyNumberFormat="1" applyFont="1" applyFill="1" applyBorder="1" applyAlignment="1">
      <alignment horizontal="right" vertical="center"/>
    </xf>
    <xf numFmtId="0" fontId="5" fillId="4" borderId="19" xfId="1" applyNumberFormat="1" applyFont="1" applyFill="1" applyBorder="1" applyAlignment="1">
      <alignment horizontal="right" vertical="center"/>
    </xf>
    <xf numFmtId="0" fontId="0" fillId="2" borderId="16" xfId="0" applyFill="1" applyBorder="1"/>
    <xf numFmtId="0" fontId="0" fillId="2" borderId="0" xfId="0" applyFill="1"/>
    <xf numFmtId="0" fontId="6" fillId="2" borderId="16" xfId="1" quotePrefix="1" applyNumberFormat="1" applyFont="1" applyFill="1" applyBorder="1" applyAlignment="1" applyProtection="1">
      <alignment horizontal="left"/>
    </xf>
    <xf numFmtId="0" fontId="6" fillId="2" borderId="0" xfId="1" quotePrefix="1" applyNumberFormat="1" applyFont="1" applyFill="1" applyBorder="1" applyAlignment="1" applyProtection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1" diagonalDown="1">
        <left/>
        <right/>
        <top/>
        <bottom/>
        <diagonal style="thin">
          <color auto="1"/>
        </diagonal>
        <vertical/>
        <horizontal/>
      </border>
    </dxf>
    <dxf>
      <numFmt numFmtId="14" formatCode="0.00%"/>
    </dxf>
    <dxf>
      <numFmt numFmtId="14" formatCode="0.00%"/>
    </dxf>
    <dxf>
      <border diagonalUp="1" diagonalDown="1">
        <left/>
        <right/>
        <top/>
        <bottom/>
        <diagonal style="thin">
          <color auto="1"/>
        </diagonal>
        <vertical/>
        <horizontal/>
      </border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439A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1" hidden="0"/>
    </dxf>
    <dxf>
      <border diagonalUp="0" diagonalDown="0">
        <left style="thick">
          <color rgb="FF00439A"/>
        </left>
        <right style="thick">
          <color rgb="FF00439A"/>
        </right>
        <top style="thick">
          <color rgb="FF00439A"/>
        </top>
        <bottom style="thick">
          <color rgb="FF00439A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  <protection locked="1" hidden="0"/>
    </dxf>
    <dxf>
      <fill>
        <patternFill>
          <bgColor rgb="FFE5F7F5"/>
        </patternFill>
      </fill>
    </dxf>
    <dxf>
      <fill>
        <patternFill>
          <bgColor rgb="FFFCFFD5"/>
        </patternFill>
      </fill>
    </dxf>
    <dxf>
      <fill>
        <patternFill>
          <bgColor rgb="FFFFF275"/>
        </patternFill>
      </fill>
    </dxf>
    <dxf>
      <fill>
        <patternFill>
          <bgColor rgb="FFFFF489"/>
        </patternFill>
      </fill>
    </dxf>
    <dxf>
      <font>
        <color rgb="FF00439A"/>
      </font>
      <border>
        <left style="thick">
          <color rgb="FF00439A"/>
        </left>
        <right style="thick">
          <color rgb="FF00439A"/>
        </right>
        <top style="thick">
          <color rgb="FF00439A"/>
        </top>
        <bottom style="thick">
          <color rgb="FF00439A"/>
        </bottom>
      </border>
    </dxf>
  </dxfs>
  <tableStyles count="1" defaultTableStyle="TableStyleMedium2" defaultPivotStyle="PivotStyleLight16">
    <tableStyle name="KVK" pivot="0" count="5" xr9:uid="{777A97D9-7CBF-46D7-8D3F-AC9506997F1E}">
      <tableStyleElement type="wholeTable" dxfId="69"/>
      <tableStyleElement type="headerRow" dxfId="68"/>
      <tableStyleElement type="totalRow" dxfId="67"/>
      <tableStyleElement type="firstRowStripe" dxfId="66"/>
      <tableStyleElement type="secondRowStripe" dxfId="65"/>
    </tableStyle>
  </tableStyles>
  <colors>
    <mruColors>
      <color rgb="FFFFF489"/>
      <color rgb="FFFFE600"/>
      <color rgb="FFFFF275"/>
      <color rgb="FF00439A"/>
      <color rgb="FFFCFFD5"/>
      <color rgb="FFE5F7F5"/>
      <color rgb="FFF3FBFA"/>
      <color rgb="FFBCEAE6"/>
      <color rgb="FFF1FD55"/>
      <color rgb="FF63CE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357796</xdr:colOff>
      <xdr:row>1</xdr:row>
      <xdr:rowOff>226401</xdr:rowOff>
    </xdr:from>
    <xdr:to>
      <xdr:col>19</xdr:col>
      <xdr:colOff>423097</xdr:colOff>
      <xdr:row>5</xdr:row>
      <xdr:rowOff>419049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D96FFD-B270-77EF-CB43-E077B5686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28624" y="419091"/>
          <a:ext cx="2403852" cy="13765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693164</xdr:colOff>
      <xdr:row>1</xdr:row>
      <xdr:rowOff>167114</xdr:rowOff>
    </xdr:from>
    <xdr:to>
      <xdr:col>9</xdr:col>
      <xdr:colOff>1377363</xdr:colOff>
      <xdr:row>6</xdr:row>
      <xdr:rowOff>101342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3F0699-8891-456C-AA07-96B833F07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38752" y="368820"/>
          <a:ext cx="2140964" cy="13349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93867F-5B8D-47E5-858E-50F6225E4BB8}" name="tblPersoneel" displayName="tblPersoneel" ref="A18:U82" totalsRowCount="1" headerRowDxfId="64" dataDxfId="63" totalsRowDxfId="61" tableBorderDxfId="62">
  <autoFilter ref="A18:U81" xr:uid="{5293867F-5B8D-47E5-858E-50F6225E4BB8}"/>
  <tableColumns count="21">
    <tableColumn id="1" xr3:uid="{2680C875-375B-4A7C-BB85-9CC31CB834B2}" name="Nombre" totalsRowLabel="Total" dataDxfId="60" totalsRowDxfId="20"/>
    <tableColumn id="9" xr3:uid="{775E30A0-22C8-4B4E-8138-39464FDF93B3}" name="Nòmber di funshon" dataDxfId="59" totalsRowDxfId="19"/>
    <tableColumn id="10" xr3:uid="{7504A49F-C1FF-48F5-8A81-E1A47DF9A0B7}" name="Periodo di pago" dataDxfId="58" totalsRowDxfId="18"/>
    <tableColumn id="11" xr3:uid="{A76DBE85-4D9F-465D-A319-EC8A4911AF36}" name="Parttime" dataDxfId="57" totalsRowDxfId="17"/>
    <tableColumn id="15" xr3:uid="{58F145C8-EF34-47B1-A852-665908AA1E39}" name="Edat" dataDxfId="56" totalsRowDxfId="16" dataCellStyle="Percent"/>
    <tableColumn id="13" xr3:uid="{2F6B5F62-DFC9-4452-B611-1E5327EA95AE}" name="di 13 luna 2023" dataDxfId="55" totalsRowDxfId="15" dataCellStyle="Percent"/>
    <tableColumn id="27" xr3:uid="{CCF777BA-597F-4DC2-9CEE-CBDAC3704E0E}" name="Gratifikashon  2023" dataDxfId="54" totalsRowDxfId="14" dataCellStyle="Currency"/>
    <tableColumn id="3" xr3:uid="{9B380214-B291-4E5B-A3D4-C92DB12B5176}" name="Fakansi %  2023" dataDxfId="53" totalsRowDxfId="13" dataCellStyle="Percent"/>
    <tableColumn id="18" xr3:uid="{E6F59EA5-EA72-42AD-A30F-698568E3D10F}" name="Oranan pa siman" dataDxfId="52" totalsRowDxfId="12" dataCellStyle="Currency"/>
    <tableColumn id="2" xr3:uid="{CF405B24-0E33-4B7F-94BA-AA54962861B6}" name="Pagá Salario Nov 2023" dataDxfId="51" totalsRowDxfId="11" dataCellStyle="Currency"/>
    <tableColumn id="12" xr3:uid="{F05A1412-1FEB-44D8-BAB1-57530E7FEB85}" name="Ora di pago kalkulá 11-23 ( $7.13)" dataDxfId="50" totalsRowDxfId="10" dataCellStyle="Currency">
      <calculatedColumnFormula>IFERROR((tblPersoneel[[#This Row],[Pagá Salario Nov 2023]]/tblPersoneel[[#This Row],[uitbetalings deel]])/ tblPersoneel[[#This Row],[Oranan pa siman]],"")</calculatedColumnFormula>
    </tableColumn>
    <tableColumn id="19" xr3:uid="{2AB55A46-636F-4069-9B23-657544C34BCF}" name="Salario Annual 2023" totalsRowFunction="sum" dataDxfId="49" totalsRowDxfId="9" dataCellStyle="Currency">
      <calculatedColumnFormula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calculatedColumnFormula>
    </tableColumn>
    <tableColumn id="30" xr3:uid="{9425EBC3-DCAD-492B-8FE8-1162ECD01687}" name="di 13 luna 2026" dataDxfId="48" totalsRowDxfId="8" dataCellStyle="Percent"/>
    <tableColumn id="28" xr3:uid="{6F939406-D4BD-45DC-9D9F-8FDD88F1D851}" name="Gratifikashon 2026" dataDxfId="47" totalsRowDxfId="7" dataCellStyle="Currency"/>
    <tableColumn id="29" xr3:uid="{94FF237D-9F40-465A-9FA5-C0E4DA32DFE7}" name="Fakansi % 2026" dataDxfId="46" totalsRowDxfId="6" dataCellStyle="Percent"/>
    <tableColumn id="21" xr3:uid="{F249E91D-0B62-47F6-969A-BED4FAA90394}" name="Pagá Salario  2026" dataDxfId="45" totalsRowDxfId="5" dataCellStyle="Currency">
      <calculatedColumnFormula>IF(tblPersoneel[[#This Row],[Nòmber di funshon]]="",,IF(tblPersoneel[[#This Row],[Pagá Salario Nov 2023]]&gt;$D$9,tblPersoneel[[#This Row],[Pagá Salario Nov 2023]],$D$9))</calculatedColumnFormula>
    </tableColumn>
    <tableColumn id="22" xr3:uid="{D6365DDD-1DE0-4215-84D2-DBA82C2A297A}" name="Ora di pago kalkulá 01-26" dataDxfId="44" totalsRowDxfId="4" dataCellStyle="Currency">
      <calculatedColumnFormula>IFERROR((tblPersoneel[[#This Row],[Pagá Salario  2026]]/tblPersoneel[[#This Row],[uitbetalings deel]])/ tblPersoneel[[#This Row],[Oranan pa siman]],"")</calculatedColumnFormula>
    </tableColumn>
    <tableColumn id="25" xr3:uid="{0622EE30-57E9-47EE-82EA-D1FEBC2D221C}" name="Salario Annual  2026" totalsRowFunction="sum" dataDxfId="43" totalsRowDxfId="3" dataCellStyle="Currency">
      <calculatedColumnFormula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calculatedColumnFormula>
    </tableColumn>
    <tableColumn id="17" xr3:uid="{57114668-5A44-4FAD-A4D4-2AAB808D8425}" name="leeftijd percentage" dataDxfId="42" totalsRowDxfId="2" dataCellStyle="Currency">
      <calculatedColumnFormula>_xlfn.XLOOKUP(tblPersoneel[[#This Row],[Edat]],tblLeeftijdPercentage[Edat],tblLeeftijdPercentage[Persentage],0,0)</calculatedColumnFormula>
    </tableColumn>
    <tableColumn id="16" xr3:uid="{E5E6F4A8-CD58-4EB2-B2DF-B102537A7BA1}" name="uitbetalings deel" dataDxfId="41" totalsRowDxfId="1" dataCellStyle="Currency">
      <calculatedColumnFormula>VLOOKUP(tblPersoneel[[#This Row],[Periodo di pago]],UitbetaalPeriode[],2,FALSE)</calculatedColumnFormula>
    </tableColumn>
    <tableColumn id="20" xr3:uid="{1E6DF3FC-9623-4F59-B47E-9831F0BBA38F}" name="aantal uitbetalingen" totalsRowFunction="count" dataDxfId="40" totalsRowDxfId="0" dataCellStyle="Currency">
      <calculatedColumnFormula>VLOOKUP(tblPersoneel[[#This Row],[Periodo di pago]],UitbetaalPeriode[],3,FALSE)</calculatedColumnFormula>
    </tableColumn>
  </tableColumns>
  <tableStyleInfo name="KVK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B0AE6FD-CF5A-46E2-98EE-FB86103E7CF7}" name="tblLeeftijdPercentage" displayName="tblLeeftijdPercentage" ref="A10:F16" totalsRowShown="0" headerRowDxfId="39" dataDxfId="38">
  <autoFilter ref="A10:F16" xr:uid="{CB0AE6FD-CF5A-46E2-98EE-FB86103E7CF7}"/>
  <sortState xmlns:xlrd2="http://schemas.microsoft.com/office/spreadsheetml/2017/richdata2" ref="A11:B16">
    <sortCondition descending="1" ref="A10:A16"/>
  </sortState>
  <tableColumns count="6">
    <tableColumn id="1" xr3:uid="{84993DAC-053E-4389-9CDF-FC0D3179451D}" name="Edat" dataDxfId="37"/>
    <tableColumn id="2" xr3:uid="{E6A807E4-CE10-4717-803F-9C07D8D77368}" name="Persentage" dataDxfId="36" dataCellStyle="Percent"/>
    <tableColumn id="5" xr3:uid="{35A9624A-08F8-41A6-990F-7EFA749852D2}" name="2023" dataDxfId="35" dataCellStyle="Percent"/>
    <tableColumn id="3" xr3:uid="{B02A9CB0-4291-4F72-A58C-871062385797}" name="Jan-26" dataDxfId="34">
      <calculatedColumnFormula>$C$11*tblLeeftijdPercentage[[#This Row],[2023]]</calculatedColumnFormula>
    </tableColumn>
    <tableColumn id="4" xr3:uid="{48EE9BCA-658D-474D-88DC-E9EF382EFA02}" name="leeg" dataDxfId="33"/>
    <tableColumn id="6" xr3:uid="{9E786324-2FF3-4D19-A63C-FA33BAAEB2A0}" name="leeg2" dataDxfId="32"/>
  </tableColumns>
  <tableStyleInfo name="KVK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CDDF33-B333-4256-B227-423F33A4A89A}" name="UitbetaalPeriode" displayName="UitbetaalPeriode" ref="XEQ301:XES305" totalsRowShown="0" headerRowDxfId="31" dataDxfId="30">
  <autoFilter ref="XEQ301:XES305" xr:uid="{08CDDF33-B333-4256-B227-423F33A4A89A}"/>
  <sortState xmlns:xlrd2="http://schemas.microsoft.com/office/spreadsheetml/2017/richdata2" ref="XEQ302:XES305">
    <sortCondition ref="XEQ301:XEQ305"/>
  </sortState>
  <tableColumns count="3">
    <tableColumn id="1" xr3:uid="{5699AF94-2F54-4CCA-9EE6-F87B4F34EBE3}" name="uitbper" dataDxfId="29"/>
    <tableColumn id="2" xr3:uid="{4AD5415B-B214-4BBB-BDC4-239488DDE0D6}" name="deelfactor" dataDxfId="28"/>
    <tableColumn id="3" xr3:uid="{72630BE8-4346-438A-82D0-5BC3F741147C}" name="aantal uitb" dataDxfId="27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60F3112-0A98-4AB6-B4DA-7366D792F6A9}" name="Table6" displayName="Table6" ref="XEV301:XEV324" totalsRowShown="0">
  <autoFilter ref="XEV301:XEV324" xr:uid="{260F3112-0A98-4AB6-B4DA-7366D792F6A9}"/>
  <sortState xmlns:xlrd2="http://schemas.microsoft.com/office/spreadsheetml/2017/richdata2" ref="XEV302:XEV324">
    <sortCondition ref="XEV301:XEV310"/>
  </sortState>
  <tableColumns count="1">
    <tableColumn id="1" xr3:uid="{EBBB370A-1812-429A-B802-18084547620D}" name="FunctieNaam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64095F-3E07-4C1A-98D9-23BC54DAFBCA}" name="Table1" displayName="Table1" ref="B5:D6" totalsRowShown="0">
  <autoFilter ref="B5:D6" xr:uid="{FB64095F-3E07-4C1A-98D9-23BC54DAFBCA}"/>
  <tableColumns count="3">
    <tableColumn id="1" xr3:uid="{3DA131CD-F6B9-46DF-8CD2-D0CE798474EA}" name="WGP" dataDxfId="26"/>
    <tableColumn id="2" xr3:uid="{05A464FC-CB65-4045-A06F-BDCDDC0A2FD0}" name="2023" dataDxfId="25"/>
    <tableColumn id="3" xr3:uid="{2E6CD9BC-B48B-41C6-A09D-E4A829E099D1}" name="2024" dataDxfId="2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525B29-380F-49D2-8DF9-EA73B99EA424}" name="Table2" displayName="Table2" ref="B10:D11" totalsRowShown="0">
  <autoFilter ref="B10:D11" xr:uid="{C4525B29-380F-49D2-8DF9-EA73B99EA424}"/>
  <tableColumns count="3">
    <tableColumn id="1" xr3:uid="{008E9386-9A9D-455D-9F4E-70D4347D5C1B}" name="minimumloon" dataDxfId="23"/>
    <tableColumn id="2" xr3:uid="{8D2604C4-05A8-4272-98AD-8B60B8B8DD62}" name="2023" dataCellStyle="Currency"/>
    <tableColumn id="3" xr3:uid="{C24E135A-4EF4-415B-A105-948F24ADC6AD}" name="1 juli 2024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9E37D-8B74-49B4-A5D7-6B5002DFE478}">
  <sheetPr>
    <pageSetUpPr fitToPage="1"/>
  </sheetPr>
  <dimension ref="A1:XEV324"/>
  <sheetViews>
    <sheetView tabSelected="1" zoomScaleNormal="100" workbookViewId="0">
      <selection activeCell="M19" sqref="M19"/>
    </sheetView>
  </sheetViews>
  <sheetFormatPr defaultColWidth="8.7109375" defaultRowHeight="15" x14ac:dyDescent="0.25"/>
  <cols>
    <col min="1" max="1" width="11.140625" customWidth="1"/>
    <col min="2" max="2" width="14.140625" bestFit="1" customWidth="1"/>
    <col min="3" max="5" width="11.140625" customWidth="1"/>
    <col min="6" max="6" width="11" customWidth="1"/>
    <col min="7" max="7" width="11.7109375" customWidth="1"/>
    <col min="8" max="20" width="11.140625" customWidth="1"/>
    <col min="21" max="21" width="10.5703125" customWidth="1"/>
    <col min="22" max="23" width="8.7109375" customWidth="1"/>
    <col min="24" max="24" width="9" bestFit="1" customWidth="1"/>
    <col min="25" max="25" width="11.42578125" customWidth="1"/>
    <col min="26" max="26" width="9.85546875" bestFit="1" customWidth="1"/>
    <col min="27" max="29" width="0" hidden="1" customWidth="1"/>
    <col min="16364" max="16364" width="10.140625" bestFit="1" customWidth="1"/>
    <col min="16367" max="16367" width="11.42578125" customWidth="1"/>
    <col min="16368" max="16368" width="12.28515625" customWidth="1"/>
    <col min="16370" max="16370" width="11" bestFit="1" customWidth="1"/>
    <col min="16371" max="16371" width="11.42578125" customWidth="1"/>
    <col min="16375" max="16375" width="19.42578125" bestFit="1" customWidth="1"/>
    <col min="16376" max="16376" width="14.42578125" customWidth="1"/>
  </cols>
  <sheetData>
    <row r="1" spans="1:20 16364:16365" ht="15.75" thickBot="1" x14ac:dyDescent="0.3">
      <c r="XEJ1" s="26"/>
      <c r="XEK1" s="26"/>
    </row>
    <row r="2" spans="1:20 16364:16365" ht="26.25" x14ac:dyDescent="0.25">
      <c r="A2" s="128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30"/>
      <c r="XEJ2" s="26"/>
      <c r="XEK2" s="26"/>
    </row>
    <row r="3" spans="1:20 16364:16365" ht="26.25" x14ac:dyDescent="0.25">
      <c r="A3" s="131" t="s">
        <v>60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3"/>
    </row>
    <row r="4" spans="1:20 16364:16365" ht="26.25" x14ac:dyDescent="0.25">
      <c r="A4" s="34"/>
      <c r="B4" s="35"/>
      <c r="C4" s="35"/>
      <c r="D4" s="35"/>
      <c r="E4" s="35"/>
      <c r="F4" s="35"/>
      <c r="G4" s="35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94"/>
    </row>
    <row r="5" spans="1:20 16364:16365" ht="15.6" customHeight="1" x14ac:dyDescent="0.25">
      <c r="A5" s="36" t="s">
        <v>58</v>
      </c>
      <c r="B5" s="20"/>
      <c r="C5" s="20"/>
      <c r="D5" s="20"/>
      <c r="E5" s="20"/>
      <c r="F5" s="20"/>
      <c r="G5" s="35"/>
      <c r="H5" s="35"/>
      <c r="I5" s="35"/>
      <c r="J5" s="35"/>
      <c r="K5" s="35"/>
      <c r="L5" s="65"/>
      <c r="M5" s="66"/>
      <c r="N5" s="35"/>
      <c r="O5" s="35"/>
      <c r="P5" s="35"/>
      <c r="Q5" s="35"/>
      <c r="R5" s="35"/>
      <c r="S5" s="35"/>
      <c r="T5" s="64"/>
    </row>
    <row r="6" spans="1:20 16364:16365" ht="45" customHeight="1" x14ac:dyDescent="0.25">
      <c r="A6" s="138" t="s">
        <v>59</v>
      </c>
      <c r="B6" s="139"/>
      <c r="C6" s="139"/>
      <c r="D6" s="139"/>
      <c r="E6" s="139"/>
      <c r="F6" s="139"/>
      <c r="G6" s="35"/>
      <c r="H6" s="35"/>
      <c r="I6" s="35"/>
      <c r="J6" s="35"/>
      <c r="K6" s="35"/>
      <c r="L6" s="66"/>
      <c r="M6" s="66"/>
      <c r="N6" s="35"/>
      <c r="O6" s="35"/>
      <c r="P6" s="35"/>
      <c r="Q6" s="35"/>
      <c r="R6" s="35"/>
      <c r="S6" s="35"/>
      <c r="T6" s="64"/>
      <c r="XEJ6" s="26"/>
      <c r="XEK6" s="26"/>
    </row>
    <row r="7" spans="1:20 16364:16365" ht="20.25" customHeight="1" thickBot="1" x14ac:dyDescent="0.3">
      <c r="A7" s="135"/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7"/>
      <c r="XEJ7" s="26"/>
      <c r="XEK7" s="26"/>
    </row>
    <row r="8" spans="1:20 16364:16365" ht="15.75" thickBot="1" x14ac:dyDescent="0.3">
      <c r="XEJ8" s="26"/>
      <c r="XEK8" s="26"/>
    </row>
    <row r="9" spans="1:20 16364:16365" ht="15.75" thickBot="1" x14ac:dyDescent="0.3">
      <c r="A9" s="68" t="s">
        <v>87</v>
      </c>
      <c r="B9" s="69"/>
      <c r="C9" s="70">
        <f>173.33*C11</f>
        <v>1235.8429000000001</v>
      </c>
      <c r="D9" s="70">
        <f>173.33*D11</f>
        <v>1852.8977</v>
      </c>
      <c r="E9" s="71"/>
      <c r="F9" s="71"/>
      <c r="XEJ9" s="26"/>
      <c r="XEK9" s="26"/>
    </row>
    <row r="10" spans="1:20 16364:16365" x14ac:dyDescent="0.25">
      <c r="A10" s="26" t="s">
        <v>57</v>
      </c>
      <c r="B10" s="26" t="s">
        <v>88</v>
      </c>
      <c r="C10" s="26" t="s">
        <v>1</v>
      </c>
      <c r="D10" s="32" t="s">
        <v>97</v>
      </c>
      <c r="E10" s="32" t="s">
        <v>104</v>
      </c>
      <c r="F10" s="92" t="s">
        <v>105</v>
      </c>
      <c r="G10" s="134"/>
      <c r="H10" s="134"/>
      <c r="I10" s="134"/>
      <c r="J10" s="134"/>
      <c r="K10" s="134"/>
      <c r="L10" s="134"/>
      <c r="M10" s="134"/>
      <c r="N10" s="134"/>
      <c r="O10" s="134"/>
      <c r="XEJ10" s="26"/>
      <c r="XEK10" s="26"/>
    </row>
    <row r="11" spans="1:20 16364:16365" x14ac:dyDescent="0.25">
      <c r="A11" s="72" t="s">
        <v>56</v>
      </c>
      <c r="B11" s="28">
        <v>1</v>
      </c>
      <c r="C11" s="33">
        <f>minimum2023</f>
        <v>7.13</v>
      </c>
      <c r="D11" s="29">
        <f>minimum202601</f>
        <v>10.69</v>
      </c>
      <c r="E11" s="29"/>
      <c r="F11" s="93"/>
      <c r="G11" s="134"/>
      <c r="H11" s="134"/>
      <c r="I11" s="134"/>
      <c r="J11" s="134"/>
      <c r="K11" s="134"/>
      <c r="L11" s="134"/>
      <c r="M11" s="134"/>
      <c r="N11" s="134"/>
      <c r="O11" s="134"/>
      <c r="XEJ11" s="26"/>
      <c r="XEK11" s="26"/>
    </row>
    <row r="12" spans="1:20 16364:16365" x14ac:dyDescent="0.25">
      <c r="A12" s="26">
        <v>20</v>
      </c>
      <c r="B12" s="28">
        <v>0.9</v>
      </c>
      <c r="C12" s="33">
        <f>C$11*tblLeeftijdPercentage[[#This Row],[Persentage]]</f>
        <v>6.4169999999999998</v>
      </c>
      <c r="D12" s="33">
        <f>D$11*tblLeeftijdPercentage[[#This Row],[Persentage]]</f>
        <v>9.6210000000000004</v>
      </c>
      <c r="E12" s="33"/>
      <c r="F12" s="33"/>
      <c r="G12" s="134"/>
      <c r="H12" s="134"/>
      <c r="I12" s="134"/>
      <c r="J12" s="134"/>
      <c r="K12" s="134"/>
      <c r="L12" s="134"/>
      <c r="M12" s="134"/>
      <c r="N12" s="134"/>
      <c r="O12" s="134"/>
      <c r="XEJ12" s="26"/>
      <c r="XEK12" s="26"/>
    </row>
    <row r="13" spans="1:20 16364:16365" x14ac:dyDescent="0.25">
      <c r="A13" s="26">
        <v>19</v>
      </c>
      <c r="B13" s="28">
        <v>0.85</v>
      </c>
      <c r="C13" s="33">
        <f>C$11*tblLeeftijdPercentage[[#This Row],[Persentage]]</f>
        <v>6.0604999999999993</v>
      </c>
      <c r="D13" s="33">
        <f>D$11*tblLeeftijdPercentage[[#This Row],[Persentage]]</f>
        <v>9.0864999999999991</v>
      </c>
      <c r="E13" s="33"/>
      <c r="F13" s="33"/>
      <c r="G13" s="134"/>
      <c r="H13" s="134"/>
      <c r="I13" s="134"/>
      <c r="J13" s="134"/>
      <c r="K13" s="134"/>
      <c r="L13" s="134"/>
      <c r="M13" s="134"/>
      <c r="N13" s="134"/>
      <c r="O13" s="134"/>
      <c r="XEJ13" s="26"/>
      <c r="XEK13" s="26"/>
    </row>
    <row r="14" spans="1:20 16364:16365" x14ac:dyDescent="0.25">
      <c r="A14" s="26">
        <v>18</v>
      </c>
      <c r="B14" s="28">
        <v>0.75</v>
      </c>
      <c r="C14" s="33">
        <f>C$11*tblLeeftijdPercentage[[#This Row],[Persentage]]</f>
        <v>5.3475000000000001</v>
      </c>
      <c r="D14" s="33">
        <f>D$11*tblLeeftijdPercentage[[#This Row],[Persentage]]</f>
        <v>8.0175000000000001</v>
      </c>
      <c r="E14" s="33"/>
      <c r="F14" s="33"/>
      <c r="G14" s="134"/>
      <c r="H14" s="134"/>
      <c r="I14" s="134"/>
      <c r="J14" s="134"/>
      <c r="K14" s="134"/>
      <c r="L14" s="134"/>
      <c r="M14" s="134"/>
      <c r="N14" s="134"/>
      <c r="O14" s="134"/>
      <c r="XEJ14" s="26"/>
      <c r="XEK14" s="26"/>
    </row>
    <row r="15" spans="1:20 16364:16365" x14ac:dyDescent="0.25">
      <c r="A15" s="26">
        <v>17</v>
      </c>
      <c r="B15" s="28">
        <v>0.65</v>
      </c>
      <c r="C15" s="33">
        <f>C$11*tblLeeftijdPercentage[[#This Row],[Persentage]]</f>
        <v>4.6345000000000001</v>
      </c>
      <c r="D15" s="33">
        <f>D$11*tblLeeftijdPercentage[[#This Row],[Persentage]]</f>
        <v>6.9485000000000001</v>
      </c>
      <c r="E15" s="33"/>
      <c r="F15" s="33"/>
      <c r="XEJ15" s="26"/>
      <c r="XEK15" s="26"/>
    </row>
    <row r="16" spans="1:20 16364:16365" x14ac:dyDescent="0.25">
      <c r="A16" s="26">
        <v>16</v>
      </c>
      <c r="B16" s="28">
        <v>0.65</v>
      </c>
      <c r="C16" s="33">
        <f>C$11*tblLeeftijdPercentage[[#This Row],[Persentage]]</f>
        <v>4.6345000000000001</v>
      </c>
      <c r="D16" s="33">
        <f>D$11*tblLeeftijdPercentage[[#This Row],[Persentage]]</f>
        <v>6.9485000000000001</v>
      </c>
      <c r="E16" s="33"/>
      <c r="F16" s="33"/>
      <c r="XEJ16" s="26"/>
      <c r="XEK16" s="26"/>
    </row>
    <row r="17" spans="1:21 16364:16374" x14ac:dyDescent="0.25">
      <c r="A17" s="26"/>
      <c r="B17" s="28"/>
      <c r="C17" s="33"/>
      <c r="D17" s="33"/>
      <c r="E17" s="33"/>
      <c r="XEJ17" s="26"/>
      <c r="XEK17" s="26"/>
    </row>
    <row r="18" spans="1:21 16364:16374" ht="36.75" x14ac:dyDescent="0.25">
      <c r="A18" s="30" t="s">
        <v>61</v>
      </c>
      <c r="B18" s="30" t="s">
        <v>62</v>
      </c>
      <c r="C18" s="30" t="s">
        <v>63</v>
      </c>
      <c r="D18" s="30" t="s">
        <v>64</v>
      </c>
      <c r="E18" s="30" t="s">
        <v>57</v>
      </c>
      <c r="F18" s="30" t="s">
        <v>69</v>
      </c>
      <c r="G18" s="30" t="s">
        <v>65</v>
      </c>
      <c r="H18" s="30" t="s">
        <v>101</v>
      </c>
      <c r="I18" s="30" t="s">
        <v>66</v>
      </c>
      <c r="J18" s="31" t="s">
        <v>67</v>
      </c>
      <c r="K18" s="31" t="s">
        <v>70</v>
      </c>
      <c r="L18" s="31" t="s">
        <v>68</v>
      </c>
      <c r="M18" s="31" t="s">
        <v>92</v>
      </c>
      <c r="N18" s="31" t="s">
        <v>93</v>
      </c>
      <c r="O18" s="31" t="s">
        <v>100</v>
      </c>
      <c r="P18" s="31" t="s">
        <v>94</v>
      </c>
      <c r="Q18" s="31" t="s">
        <v>95</v>
      </c>
      <c r="R18" s="30" t="s">
        <v>96</v>
      </c>
      <c r="S18" s="30" t="s">
        <v>15</v>
      </c>
      <c r="T18" s="30" t="s">
        <v>14</v>
      </c>
      <c r="U18" s="30" t="s">
        <v>23</v>
      </c>
    </row>
    <row r="19" spans="1:21 16364:16374" x14ac:dyDescent="0.25">
      <c r="A19" s="81"/>
      <c r="B19" s="82"/>
      <c r="C19" s="83"/>
      <c r="D19" s="84"/>
      <c r="E19" s="85"/>
      <c r="F19" s="85"/>
      <c r="G19" s="86"/>
      <c r="H19" s="87"/>
      <c r="I19" s="88"/>
      <c r="J19" s="89"/>
      <c r="K19" s="74" t="str">
        <f>IFERROR((tblPersoneel[[#This Row],[Pagá Salario Nov 2023]]/tblPersoneel[[#This Row],[uitbetalings deel]])/ tblPersoneel[[#This Row],[Oranan pa siman]],"")</f>
        <v/>
      </c>
      <c r="L1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19" s="85"/>
      <c r="N19" s="86"/>
      <c r="O19" s="87"/>
      <c r="P19" s="75">
        <f>IF(tblPersoneel[[#This Row],[Nòmber di funshon]]="",,IF(tblPersoneel[[#This Row],[Pagá Salario Nov 2023]]&gt;$D$9,tblPersoneel[[#This Row],[Pagá Salario Nov 2023]],$D$9))</f>
        <v>0</v>
      </c>
      <c r="Q19" s="61" t="str">
        <f>IFERROR((tblPersoneel[[#This Row],[Pagá Salario  2026]]/tblPersoneel[[#This Row],[uitbetalings deel]])/ tblPersoneel[[#This Row],[Oranan pa siman]],"")</f>
        <v/>
      </c>
      <c r="R1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19" s="62">
        <f>_xlfn.XLOOKUP(tblPersoneel[[#This Row],[Edat]],tblLeeftijdPercentage[Edat],tblLeeftijdPercentage[Persentage],0,0)</f>
        <v>0</v>
      </c>
      <c r="T19" s="62" t="e">
        <f>VLOOKUP(tblPersoneel[[#This Row],[Periodo di pago]],UitbetaalPeriode[],2,FALSE)</f>
        <v>#N/A</v>
      </c>
      <c r="U19" s="62" t="e">
        <f>VLOOKUP(tblPersoneel[[#This Row],[Periodo di pago]],UitbetaalPeriode[],3,FALSE)</f>
        <v>#N/A</v>
      </c>
    </row>
    <row r="20" spans="1:21 16364:16374" x14ac:dyDescent="0.25">
      <c r="A20" s="80"/>
      <c r="B20" s="90"/>
      <c r="C20" s="83"/>
      <c r="D20" s="84"/>
      <c r="E20" s="85"/>
      <c r="F20" s="85"/>
      <c r="G20" s="86"/>
      <c r="H20" s="87"/>
      <c r="I20" s="88"/>
      <c r="J20" s="89"/>
      <c r="K20" s="74" t="str">
        <f>IFERROR((tblPersoneel[[#This Row],[Pagá Salario Nov 2023]]/tblPersoneel[[#This Row],[uitbetalings deel]])/ tblPersoneel[[#This Row],[Oranan pa siman]],"")</f>
        <v/>
      </c>
      <c r="L2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0" s="85"/>
      <c r="N20" s="86"/>
      <c r="O20" s="87"/>
      <c r="P20" s="75">
        <f>IF(tblPersoneel[[#This Row],[Nòmber di funshon]]="",,IF(tblPersoneel[[#This Row],[Pagá Salario Nov 2023]]&gt;$D$9,tblPersoneel[[#This Row],[Pagá Salario Nov 2023]],$D$9))</f>
        <v>0</v>
      </c>
      <c r="Q20" s="61" t="str">
        <f>IFERROR((tblPersoneel[[#This Row],[Pagá Salario  2026]]/tblPersoneel[[#This Row],[uitbetalings deel]])/ tblPersoneel[[#This Row],[Oranan pa siman]],"")</f>
        <v/>
      </c>
      <c r="R2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0" s="62">
        <f>_xlfn.XLOOKUP(tblPersoneel[[#This Row],[Edat]],tblLeeftijdPercentage[Edat],tblLeeftijdPercentage[Persentage],0,0)</f>
        <v>0</v>
      </c>
      <c r="T20" s="62" t="e">
        <f>VLOOKUP(tblPersoneel[[#This Row],[Periodo di pago]],UitbetaalPeriode[],2,FALSE)</f>
        <v>#N/A</v>
      </c>
      <c r="U20" s="62" t="e">
        <f>VLOOKUP(tblPersoneel[[#This Row],[Periodo di pago]],UitbetaalPeriode[],3,FALSE)</f>
        <v>#N/A</v>
      </c>
    </row>
    <row r="21" spans="1:21 16364:16374" x14ac:dyDescent="0.25">
      <c r="A21" s="81"/>
      <c r="B21" s="82"/>
      <c r="C21" s="83"/>
      <c r="D21" s="84"/>
      <c r="E21" s="85"/>
      <c r="F21" s="85"/>
      <c r="G21" s="86"/>
      <c r="H21" s="87"/>
      <c r="I21" s="88"/>
      <c r="J21" s="89"/>
      <c r="K21" s="74" t="str">
        <f>IFERROR((tblPersoneel[[#This Row],[Pagá Salario Nov 2023]]/tblPersoneel[[#This Row],[uitbetalings deel]])/ tblPersoneel[[#This Row],[Oranan pa siman]],"")</f>
        <v/>
      </c>
      <c r="L2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1" s="85"/>
      <c r="N21" s="86"/>
      <c r="O21" s="87"/>
      <c r="P21" s="75">
        <f>IF(tblPersoneel[[#This Row],[Nòmber di funshon]]="",,IF(tblPersoneel[[#This Row],[Pagá Salario Nov 2023]]&gt;$D$9,tblPersoneel[[#This Row],[Pagá Salario Nov 2023]],$D$9))</f>
        <v>0</v>
      </c>
      <c r="Q21" s="61" t="str">
        <f>IFERROR((tblPersoneel[[#This Row],[Pagá Salario  2026]]/tblPersoneel[[#This Row],[uitbetalings deel]])/ tblPersoneel[[#This Row],[Oranan pa siman]],"")</f>
        <v/>
      </c>
      <c r="R2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1" s="62">
        <f>_xlfn.XLOOKUP(tblPersoneel[[#This Row],[Edat]],tblLeeftijdPercentage[Edat],tblLeeftijdPercentage[Persentage],0,0)</f>
        <v>0</v>
      </c>
      <c r="T21" s="62" t="e">
        <f>VLOOKUP(tblPersoneel[[#This Row],[Periodo di pago]],UitbetaalPeriode[],2,FALSE)</f>
        <v>#N/A</v>
      </c>
      <c r="U21" s="62" t="e">
        <f>VLOOKUP(tblPersoneel[[#This Row],[Periodo di pago]],UitbetaalPeriode[],3,FALSE)</f>
        <v>#N/A</v>
      </c>
    </row>
    <row r="22" spans="1:21 16364:16374" x14ac:dyDescent="0.25">
      <c r="A22" s="80"/>
      <c r="B22" s="90"/>
      <c r="C22" s="83"/>
      <c r="D22" s="84"/>
      <c r="E22" s="85"/>
      <c r="F22" s="85"/>
      <c r="G22" s="86"/>
      <c r="H22" s="87"/>
      <c r="I22" s="88"/>
      <c r="J22" s="89"/>
      <c r="K22" s="74" t="str">
        <f>IFERROR((tblPersoneel[[#This Row],[Pagá Salario Nov 2023]]/tblPersoneel[[#This Row],[uitbetalings deel]])/ tblPersoneel[[#This Row],[Oranan pa siman]],"")</f>
        <v/>
      </c>
      <c r="L2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2" s="85"/>
      <c r="N22" s="86"/>
      <c r="O22" s="87"/>
      <c r="P22" s="75">
        <f>IF(tblPersoneel[[#This Row],[Nòmber di funshon]]="",,IF(tblPersoneel[[#This Row],[Pagá Salario Nov 2023]]&gt;$D$9,tblPersoneel[[#This Row],[Pagá Salario Nov 2023]],$D$9))</f>
        <v>0</v>
      </c>
      <c r="Q22" s="61" t="str">
        <f>IFERROR((tblPersoneel[[#This Row],[Pagá Salario  2026]]/tblPersoneel[[#This Row],[uitbetalings deel]])/ tblPersoneel[[#This Row],[Oranan pa siman]],"")</f>
        <v/>
      </c>
      <c r="R2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2" s="62">
        <f>_xlfn.XLOOKUP(tblPersoneel[[#This Row],[Edat]],tblLeeftijdPercentage[Edat],tblLeeftijdPercentage[Persentage],0,0)</f>
        <v>0</v>
      </c>
      <c r="T22" s="62" t="e">
        <f>VLOOKUP(tblPersoneel[[#This Row],[Periodo di pago]],UitbetaalPeriode[],2,FALSE)</f>
        <v>#N/A</v>
      </c>
      <c r="U22" s="62" t="e">
        <f>VLOOKUP(tblPersoneel[[#This Row],[Periodo di pago]],UitbetaalPeriode[],3,FALSE)</f>
        <v>#N/A</v>
      </c>
      <c r="XET22" s="26"/>
    </row>
    <row r="23" spans="1:21 16364:16374" x14ac:dyDescent="0.25">
      <c r="A23" s="81"/>
      <c r="B23" s="82"/>
      <c r="C23" s="83"/>
      <c r="D23" s="84"/>
      <c r="E23" s="85"/>
      <c r="F23" s="85"/>
      <c r="G23" s="86"/>
      <c r="H23" s="87"/>
      <c r="I23" s="88" t="s">
        <v>91</v>
      </c>
      <c r="J23" s="89"/>
      <c r="K23" s="74" t="str">
        <f>IFERROR((tblPersoneel[[#This Row],[Pagá Salario Nov 2023]]/tblPersoneel[[#This Row],[uitbetalings deel]])/ tblPersoneel[[#This Row],[Oranan pa siman]],"")</f>
        <v/>
      </c>
      <c r="L2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3" s="85"/>
      <c r="N23" s="86"/>
      <c r="O23" s="87"/>
      <c r="P23" s="75">
        <f>IF(tblPersoneel[[#This Row],[Nòmber di funshon]]="",,IF(tblPersoneel[[#This Row],[Pagá Salario Nov 2023]]&gt;$D$9,tblPersoneel[[#This Row],[Pagá Salario Nov 2023]],$D$9))</f>
        <v>0</v>
      </c>
      <c r="Q23" s="61" t="str">
        <f>IFERROR((tblPersoneel[[#This Row],[Pagá Salario  2026]]/tblPersoneel[[#This Row],[uitbetalings deel]])/ tblPersoneel[[#This Row],[Oranan pa siman]],"")</f>
        <v/>
      </c>
      <c r="R2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3" s="62">
        <f>_xlfn.XLOOKUP(tblPersoneel[[#This Row],[Edat]],tblLeeftijdPercentage[Edat],tblLeeftijdPercentage[Persentage],0,0)</f>
        <v>0</v>
      </c>
      <c r="T23" s="62" t="e">
        <f>VLOOKUP(tblPersoneel[[#This Row],[Periodo di pago]],UitbetaalPeriode[],2,FALSE)</f>
        <v>#N/A</v>
      </c>
      <c r="U23" s="62" t="e">
        <f>VLOOKUP(tblPersoneel[[#This Row],[Periodo di pago]],UitbetaalPeriode[],3,FALSE)</f>
        <v>#N/A</v>
      </c>
      <c r="XET23" s="26"/>
    </row>
    <row r="24" spans="1:21 16364:16374" x14ac:dyDescent="0.25">
      <c r="A24" s="80"/>
      <c r="B24" s="90"/>
      <c r="C24" s="83"/>
      <c r="D24" s="84"/>
      <c r="E24" s="85"/>
      <c r="F24" s="85"/>
      <c r="G24" s="86"/>
      <c r="H24" s="87"/>
      <c r="I24" s="88"/>
      <c r="J24" s="89"/>
      <c r="K24" s="74" t="str">
        <f>IFERROR((tblPersoneel[[#This Row],[Pagá Salario Nov 2023]]/tblPersoneel[[#This Row],[uitbetalings deel]])/ tblPersoneel[[#This Row],[Oranan pa siman]],"")</f>
        <v/>
      </c>
      <c r="L2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4" s="85"/>
      <c r="N24" s="86"/>
      <c r="O24" s="87"/>
      <c r="P24" s="75">
        <f>IF(tblPersoneel[[#This Row],[Nòmber di funshon]]="",,IF(tblPersoneel[[#This Row],[Pagá Salario Nov 2023]]&gt;$D$9,tblPersoneel[[#This Row],[Pagá Salario Nov 2023]],$D$9))</f>
        <v>0</v>
      </c>
      <c r="Q24" s="61" t="str">
        <f>IFERROR((tblPersoneel[[#This Row],[Pagá Salario  2026]]/tblPersoneel[[#This Row],[uitbetalings deel]])/ tblPersoneel[[#This Row],[Oranan pa siman]],"")</f>
        <v/>
      </c>
      <c r="R2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4" s="62">
        <f>_xlfn.XLOOKUP(tblPersoneel[[#This Row],[Edat]],tblLeeftijdPercentage[Edat],tblLeeftijdPercentage[Persentage],0,0)</f>
        <v>0</v>
      </c>
      <c r="T24" s="62" t="e">
        <f>VLOOKUP(tblPersoneel[[#This Row],[Periodo di pago]],UitbetaalPeriode[],2,FALSE)</f>
        <v>#N/A</v>
      </c>
      <c r="U24" s="62" t="e">
        <f>VLOOKUP(tblPersoneel[[#This Row],[Periodo di pago]],UitbetaalPeriode[],3,FALSE)</f>
        <v>#N/A</v>
      </c>
      <c r="XET24" s="26"/>
    </row>
    <row r="25" spans="1:21 16364:16374" x14ac:dyDescent="0.25">
      <c r="A25" s="81"/>
      <c r="B25" s="82"/>
      <c r="C25" s="83"/>
      <c r="D25" s="84"/>
      <c r="E25" s="85"/>
      <c r="F25" s="85"/>
      <c r="G25" s="86"/>
      <c r="H25" s="87"/>
      <c r="I25" s="88"/>
      <c r="J25" s="89"/>
      <c r="K25" s="74" t="str">
        <f>IFERROR((tblPersoneel[[#This Row],[Pagá Salario Nov 2023]]/tblPersoneel[[#This Row],[uitbetalings deel]])/ tblPersoneel[[#This Row],[Oranan pa siman]],"")</f>
        <v/>
      </c>
      <c r="L2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5" s="85"/>
      <c r="N25" s="86"/>
      <c r="O25" s="87"/>
      <c r="P25" s="75">
        <f>IF(tblPersoneel[[#This Row],[Nòmber di funshon]]="",,IF(tblPersoneel[[#This Row],[Pagá Salario Nov 2023]]&gt;$D$9,tblPersoneel[[#This Row],[Pagá Salario Nov 2023]],$D$9))</f>
        <v>0</v>
      </c>
      <c r="Q25" s="61" t="str">
        <f>IFERROR((tblPersoneel[[#This Row],[Pagá Salario  2026]]/tblPersoneel[[#This Row],[uitbetalings deel]])/ tblPersoneel[[#This Row],[Oranan pa siman]],"")</f>
        <v/>
      </c>
      <c r="R2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5" s="62">
        <f>_xlfn.XLOOKUP(tblPersoneel[[#This Row],[Edat]],tblLeeftijdPercentage[Edat],tblLeeftijdPercentage[Persentage],0,0)</f>
        <v>0</v>
      </c>
      <c r="T25" s="62" t="e">
        <f>VLOOKUP(tblPersoneel[[#This Row],[Periodo di pago]],UitbetaalPeriode[],2,FALSE)</f>
        <v>#N/A</v>
      </c>
      <c r="U25" s="62" t="e">
        <f>VLOOKUP(tblPersoneel[[#This Row],[Periodo di pago]],UitbetaalPeriode[],3,FALSE)</f>
        <v>#N/A</v>
      </c>
      <c r="XET25" s="26"/>
    </row>
    <row r="26" spans="1:21 16364:16374" x14ac:dyDescent="0.25">
      <c r="A26" s="80"/>
      <c r="B26" s="90"/>
      <c r="C26" s="83"/>
      <c r="D26" s="84"/>
      <c r="E26" s="85"/>
      <c r="F26" s="85"/>
      <c r="G26" s="86"/>
      <c r="H26" s="87"/>
      <c r="I26" s="88"/>
      <c r="J26" s="89"/>
      <c r="K26" s="74" t="str">
        <f>IFERROR((tblPersoneel[[#This Row],[Pagá Salario Nov 2023]]/tblPersoneel[[#This Row],[uitbetalings deel]])/ tblPersoneel[[#This Row],[Oranan pa siman]],"")</f>
        <v/>
      </c>
      <c r="L2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6" s="85"/>
      <c r="N26" s="86"/>
      <c r="O26" s="87"/>
      <c r="P26" s="75">
        <f>IF(tblPersoneel[[#This Row],[Nòmber di funshon]]="",,IF(tblPersoneel[[#This Row],[Pagá Salario Nov 2023]]&gt;$D$9,tblPersoneel[[#This Row],[Pagá Salario Nov 2023]],$D$9))</f>
        <v>0</v>
      </c>
      <c r="Q26" s="61" t="str">
        <f>IFERROR((tblPersoneel[[#This Row],[Pagá Salario  2026]]/tblPersoneel[[#This Row],[uitbetalings deel]])/ tblPersoneel[[#This Row],[Oranan pa siman]],"")</f>
        <v/>
      </c>
      <c r="R2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6" s="62">
        <f>_xlfn.XLOOKUP(tblPersoneel[[#This Row],[Edat]],tblLeeftijdPercentage[Edat],tblLeeftijdPercentage[Persentage],0,0)</f>
        <v>0</v>
      </c>
      <c r="T26" s="62" t="e">
        <f>VLOOKUP(tblPersoneel[[#This Row],[Periodo di pago]],UitbetaalPeriode[],2,FALSE)</f>
        <v>#N/A</v>
      </c>
      <c r="U26" s="62" t="e">
        <f>VLOOKUP(tblPersoneel[[#This Row],[Periodo di pago]],UitbetaalPeriode[],3,FALSE)</f>
        <v>#N/A</v>
      </c>
      <c r="XEK26" s="26"/>
      <c r="XEL26" s="26"/>
      <c r="XEM26" s="26"/>
      <c r="XEN26" s="26"/>
      <c r="XEO26" s="26"/>
      <c r="XEP26" s="26"/>
      <c r="XEQ26" s="26"/>
      <c r="XER26" s="26"/>
      <c r="XET26" s="26"/>
    </row>
    <row r="27" spans="1:21 16364:16374" x14ac:dyDescent="0.25">
      <c r="A27" s="81"/>
      <c r="B27" s="82"/>
      <c r="C27" s="83"/>
      <c r="D27" s="84"/>
      <c r="E27" s="85"/>
      <c r="F27" s="85"/>
      <c r="G27" s="86"/>
      <c r="H27" s="87"/>
      <c r="I27" s="88"/>
      <c r="J27" s="89"/>
      <c r="K27" s="74" t="str">
        <f>IFERROR((tblPersoneel[[#This Row],[Pagá Salario Nov 2023]]/tblPersoneel[[#This Row],[uitbetalings deel]])/ tblPersoneel[[#This Row],[Oranan pa siman]],"")</f>
        <v/>
      </c>
      <c r="L2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7" s="85"/>
      <c r="N27" s="86"/>
      <c r="O27" s="87"/>
      <c r="P27" s="75">
        <f>IF(tblPersoneel[[#This Row],[Nòmber di funshon]]="",,IF(tblPersoneel[[#This Row],[Pagá Salario Nov 2023]]&gt;$D$9,tblPersoneel[[#This Row],[Pagá Salario Nov 2023]],$D$9))</f>
        <v>0</v>
      </c>
      <c r="Q27" s="61" t="str">
        <f>IFERROR((tblPersoneel[[#This Row],[Pagá Salario  2026]]/tblPersoneel[[#This Row],[uitbetalings deel]])/ tblPersoneel[[#This Row],[Oranan pa siman]],"")</f>
        <v/>
      </c>
      <c r="R2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7" s="62">
        <f>_xlfn.XLOOKUP(tblPersoneel[[#This Row],[Edat]],tblLeeftijdPercentage[Edat],tblLeeftijdPercentage[Persentage],0,0)</f>
        <v>0</v>
      </c>
      <c r="T27" s="62" t="e">
        <f>VLOOKUP(tblPersoneel[[#This Row],[Periodo di pago]],UitbetaalPeriode[],2,FALSE)</f>
        <v>#N/A</v>
      </c>
      <c r="U27" s="62" t="e">
        <f>VLOOKUP(tblPersoneel[[#This Row],[Periodo di pago]],UitbetaalPeriode[],3,FALSE)</f>
        <v>#N/A</v>
      </c>
      <c r="XEK27" s="26"/>
      <c r="XEL27" s="26"/>
      <c r="XEM27" s="26"/>
      <c r="XEN27" s="26"/>
      <c r="XEO27" s="26"/>
      <c r="XEP27" s="26"/>
      <c r="XEQ27" s="26"/>
      <c r="XER27" s="26"/>
      <c r="XET27" s="26"/>
    </row>
    <row r="28" spans="1:21 16364:16374" x14ac:dyDescent="0.25">
      <c r="A28" s="80"/>
      <c r="B28" s="90"/>
      <c r="C28" s="83"/>
      <c r="D28" s="84"/>
      <c r="E28" s="85"/>
      <c r="F28" s="85"/>
      <c r="G28" s="86"/>
      <c r="H28" s="87"/>
      <c r="I28" s="88"/>
      <c r="J28" s="89"/>
      <c r="K28" s="74" t="str">
        <f>IFERROR((tblPersoneel[[#This Row],[Pagá Salario Nov 2023]]/tblPersoneel[[#This Row],[uitbetalings deel]])/ tblPersoneel[[#This Row],[Oranan pa siman]],"")</f>
        <v/>
      </c>
      <c r="L2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8" s="85"/>
      <c r="N28" s="86"/>
      <c r="O28" s="87"/>
      <c r="P28" s="75">
        <f>IF(tblPersoneel[[#This Row],[Nòmber di funshon]]="",,IF(tblPersoneel[[#This Row],[Pagá Salario Nov 2023]]&gt;$D$9,tblPersoneel[[#This Row],[Pagá Salario Nov 2023]],$D$9))</f>
        <v>0</v>
      </c>
      <c r="Q28" s="61" t="str">
        <f>IFERROR((tblPersoneel[[#This Row],[Pagá Salario  2026]]/tblPersoneel[[#This Row],[uitbetalings deel]])/ tblPersoneel[[#This Row],[Oranan pa siman]],"")</f>
        <v/>
      </c>
      <c r="R2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8" s="62">
        <f>_xlfn.XLOOKUP(tblPersoneel[[#This Row],[Edat]],tblLeeftijdPercentage[Edat],tblLeeftijdPercentage[Persentage],0,0)</f>
        <v>0</v>
      </c>
      <c r="T28" s="62" t="e">
        <f>VLOOKUP(tblPersoneel[[#This Row],[Periodo di pago]],UitbetaalPeriode[],2,FALSE)</f>
        <v>#N/A</v>
      </c>
      <c r="U28" s="62" t="e">
        <f>VLOOKUP(tblPersoneel[[#This Row],[Periodo di pago]],UitbetaalPeriode[],3,FALSE)</f>
        <v>#N/A</v>
      </c>
      <c r="XEK28" s="26"/>
      <c r="XEL28" s="26"/>
      <c r="XEM28" s="26"/>
      <c r="XEN28" s="26"/>
      <c r="XEO28" s="26"/>
      <c r="XEP28" s="26"/>
      <c r="XEQ28" s="26"/>
      <c r="XER28" s="26"/>
      <c r="XET28" s="26"/>
    </row>
    <row r="29" spans="1:21 16364:16374" x14ac:dyDescent="0.25">
      <c r="A29" s="81"/>
      <c r="B29" s="82"/>
      <c r="C29" s="83"/>
      <c r="D29" s="84"/>
      <c r="E29" s="85"/>
      <c r="F29" s="85"/>
      <c r="G29" s="86"/>
      <c r="H29" s="87"/>
      <c r="I29" s="88"/>
      <c r="J29" s="89"/>
      <c r="K29" s="74" t="str">
        <f>IFERROR((tblPersoneel[[#This Row],[Pagá Salario Nov 2023]]/tblPersoneel[[#This Row],[uitbetalings deel]])/ tblPersoneel[[#This Row],[Oranan pa siman]],"")</f>
        <v/>
      </c>
      <c r="L2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29" s="85"/>
      <c r="N29" s="86"/>
      <c r="O29" s="87"/>
      <c r="P29" s="75">
        <f>IF(tblPersoneel[[#This Row],[Nòmber di funshon]]="",,IF(tblPersoneel[[#This Row],[Pagá Salario Nov 2023]]&gt;$D$9,tblPersoneel[[#This Row],[Pagá Salario Nov 2023]],$D$9))</f>
        <v>0</v>
      </c>
      <c r="Q29" s="61" t="str">
        <f>IFERROR((tblPersoneel[[#This Row],[Pagá Salario  2026]]/tblPersoneel[[#This Row],[uitbetalings deel]])/ tblPersoneel[[#This Row],[Oranan pa siman]],"")</f>
        <v/>
      </c>
      <c r="R2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29" s="62">
        <f>_xlfn.XLOOKUP(tblPersoneel[[#This Row],[Edat]],tblLeeftijdPercentage[Edat],tblLeeftijdPercentage[Persentage],0,0)</f>
        <v>0</v>
      </c>
      <c r="T29" s="62" t="e">
        <f>VLOOKUP(tblPersoneel[[#This Row],[Periodo di pago]],UitbetaalPeriode[],2,FALSE)</f>
        <v>#N/A</v>
      </c>
      <c r="U29" s="62" t="e">
        <f>VLOOKUP(tblPersoneel[[#This Row],[Periodo di pago]],UitbetaalPeriode[],3,FALSE)</f>
        <v>#N/A</v>
      </c>
      <c r="XEK29" s="26"/>
      <c r="XEL29" s="26"/>
      <c r="XEM29" s="26"/>
      <c r="XEN29" s="26"/>
      <c r="XEO29" s="26"/>
      <c r="XEP29" s="26"/>
      <c r="XEQ29" s="26"/>
      <c r="XER29" s="26"/>
      <c r="XET29" s="26"/>
    </row>
    <row r="30" spans="1:21 16364:16374" x14ac:dyDescent="0.25">
      <c r="A30" s="80"/>
      <c r="B30" s="90"/>
      <c r="C30" s="83"/>
      <c r="D30" s="84"/>
      <c r="E30" s="85"/>
      <c r="F30" s="85"/>
      <c r="G30" s="86"/>
      <c r="H30" s="87"/>
      <c r="I30" s="88"/>
      <c r="J30" s="89"/>
      <c r="K30" s="74" t="str">
        <f>IFERROR((tblPersoneel[[#This Row],[Pagá Salario Nov 2023]]/tblPersoneel[[#This Row],[uitbetalings deel]])/ tblPersoneel[[#This Row],[Oranan pa siman]],"")</f>
        <v/>
      </c>
      <c r="L3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0" s="85"/>
      <c r="N30" s="86"/>
      <c r="O30" s="87"/>
      <c r="P30" s="75">
        <f>IF(tblPersoneel[[#This Row],[Nòmber di funshon]]="",,IF(tblPersoneel[[#This Row],[Pagá Salario Nov 2023]]&gt;$D$9,tblPersoneel[[#This Row],[Pagá Salario Nov 2023]],$D$9))</f>
        <v>0</v>
      </c>
      <c r="Q30" s="61" t="str">
        <f>IFERROR((tblPersoneel[[#This Row],[Pagá Salario  2026]]/tblPersoneel[[#This Row],[uitbetalings deel]])/ tblPersoneel[[#This Row],[Oranan pa siman]],"")</f>
        <v/>
      </c>
      <c r="R3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0" s="62">
        <f>_xlfn.XLOOKUP(tblPersoneel[[#This Row],[Edat]],tblLeeftijdPercentage[Edat],tblLeeftijdPercentage[Persentage],0,0)</f>
        <v>0</v>
      </c>
      <c r="T30" s="62" t="e">
        <f>VLOOKUP(tblPersoneel[[#This Row],[Periodo di pago]],UitbetaalPeriode[],2,FALSE)</f>
        <v>#N/A</v>
      </c>
      <c r="U30" s="62" t="e">
        <f>VLOOKUP(tblPersoneel[[#This Row],[Periodo di pago]],UitbetaalPeriode[],3,FALSE)</f>
        <v>#N/A</v>
      </c>
      <c r="XEK30" s="26"/>
      <c r="XEL30" s="26"/>
      <c r="XEM30" s="26"/>
      <c r="XEN30" s="26"/>
      <c r="XEO30" s="26"/>
      <c r="XEP30" s="26"/>
      <c r="XEQ30" s="26"/>
      <c r="XER30" s="26"/>
      <c r="XET30" s="26"/>
    </row>
    <row r="31" spans="1:21 16364:16374" x14ac:dyDescent="0.25">
      <c r="A31" s="81"/>
      <c r="B31" s="82"/>
      <c r="C31" s="83"/>
      <c r="D31" s="84"/>
      <c r="E31" s="85"/>
      <c r="F31" s="85"/>
      <c r="G31" s="86"/>
      <c r="H31" s="87"/>
      <c r="I31" s="88"/>
      <c r="J31" s="89"/>
      <c r="K31" s="74" t="str">
        <f>IFERROR((tblPersoneel[[#This Row],[Pagá Salario Nov 2023]]/tblPersoneel[[#This Row],[uitbetalings deel]])/ tblPersoneel[[#This Row],[Oranan pa siman]],"")</f>
        <v/>
      </c>
      <c r="L3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1" s="85"/>
      <c r="N31" s="86"/>
      <c r="O31" s="87"/>
      <c r="P31" s="75">
        <f>IF(tblPersoneel[[#This Row],[Nòmber di funshon]]="",,IF(tblPersoneel[[#This Row],[Pagá Salario Nov 2023]]&gt;$D$9,tblPersoneel[[#This Row],[Pagá Salario Nov 2023]],$D$9))</f>
        <v>0</v>
      </c>
      <c r="Q31" s="61" t="str">
        <f>IFERROR((tblPersoneel[[#This Row],[Pagá Salario  2026]]/tblPersoneel[[#This Row],[uitbetalings deel]])/ tblPersoneel[[#This Row],[Oranan pa siman]],"")</f>
        <v/>
      </c>
      <c r="R3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1" s="62">
        <f>_xlfn.XLOOKUP(tblPersoneel[[#This Row],[Edat]],tblLeeftijdPercentage[Edat],tblLeeftijdPercentage[Persentage],0,0)</f>
        <v>0</v>
      </c>
      <c r="T31" s="62" t="e">
        <f>VLOOKUP(tblPersoneel[[#This Row],[Periodo di pago]],UitbetaalPeriode[],2,FALSE)</f>
        <v>#N/A</v>
      </c>
      <c r="U31" s="62" t="e">
        <f>VLOOKUP(tblPersoneel[[#This Row],[Periodo di pago]],UitbetaalPeriode[],3,FALSE)</f>
        <v>#N/A</v>
      </c>
      <c r="XEK31" s="26"/>
      <c r="XEL31" s="26"/>
      <c r="XEM31" s="26"/>
      <c r="XEN31" s="26"/>
      <c r="XEO31" s="26"/>
      <c r="XEP31" s="26"/>
      <c r="XEQ31" s="26"/>
      <c r="XER31" s="26"/>
      <c r="XET31" s="26"/>
    </row>
    <row r="32" spans="1:21 16364:16374" x14ac:dyDescent="0.25">
      <c r="A32" s="80"/>
      <c r="B32" s="90"/>
      <c r="C32" s="83"/>
      <c r="D32" s="84"/>
      <c r="E32" s="85"/>
      <c r="F32" s="85"/>
      <c r="G32" s="86"/>
      <c r="H32" s="87"/>
      <c r="I32" s="88"/>
      <c r="J32" s="89"/>
      <c r="K32" s="74" t="str">
        <f>IFERROR((tblPersoneel[[#This Row],[Pagá Salario Nov 2023]]/tblPersoneel[[#This Row],[uitbetalings deel]])/ tblPersoneel[[#This Row],[Oranan pa siman]],"")</f>
        <v/>
      </c>
      <c r="L3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2" s="85"/>
      <c r="N32" s="86"/>
      <c r="O32" s="87"/>
      <c r="P32" s="75">
        <f>IF(tblPersoneel[[#This Row],[Nòmber di funshon]]="",,IF(tblPersoneel[[#This Row],[Pagá Salario Nov 2023]]&gt;$D$9,tblPersoneel[[#This Row],[Pagá Salario Nov 2023]],$D$9))</f>
        <v>0</v>
      </c>
      <c r="Q32" s="61" t="str">
        <f>IFERROR((tblPersoneel[[#This Row],[Pagá Salario  2026]]/tblPersoneel[[#This Row],[uitbetalings deel]])/ tblPersoneel[[#This Row],[Oranan pa siman]],"")</f>
        <v/>
      </c>
      <c r="R3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2" s="62">
        <f>_xlfn.XLOOKUP(tblPersoneel[[#This Row],[Edat]],tblLeeftijdPercentage[Edat],tblLeeftijdPercentage[Persentage],0,0)</f>
        <v>0</v>
      </c>
      <c r="T32" s="62" t="e">
        <f>VLOOKUP(tblPersoneel[[#This Row],[Periodo di pago]],UitbetaalPeriode[],2,FALSE)</f>
        <v>#N/A</v>
      </c>
      <c r="U32" s="62" t="e">
        <f>VLOOKUP(tblPersoneel[[#This Row],[Periodo di pago]],UitbetaalPeriode[],3,FALSE)</f>
        <v>#N/A</v>
      </c>
      <c r="XEK32" s="26"/>
      <c r="XEL32" s="26"/>
      <c r="XEM32" s="26"/>
      <c r="XEN32" s="26"/>
      <c r="XEO32" s="26"/>
      <c r="XEP32" s="26"/>
      <c r="XEQ32" s="26"/>
      <c r="XER32" s="26"/>
      <c r="XET32" s="26"/>
    </row>
    <row r="33" spans="1:21 16365:16374" x14ac:dyDescent="0.25">
      <c r="A33" s="81"/>
      <c r="B33" s="82"/>
      <c r="C33" s="83"/>
      <c r="D33" s="84"/>
      <c r="E33" s="85"/>
      <c r="F33" s="85"/>
      <c r="G33" s="86"/>
      <c r="H33" s="87"/>
      <c r="I33" s="88"/>
      <c r="J33" s="89"/>
      <c r="K33" s="74" t="str">
        <f>IFERROR((tblPersoneel[[#This Row],[Pagá Salario Nov 2023]]/tblPersoneel[[#This Row],[uitbetalings deel]])/ tblPersoneel[[#This Row],[Oranan pa siman]],"")</f>
        <v/>
      </c>
      <c r="L3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3" s="85"/>
      <c r="N33" s="86"/>
      <c r="O33" s="87"/>
      <c r="P33" s="75">
        <f>IF(tblPersoneel[[#This Row],[Nòmber di funshon]]="",,IF(tblPersoneel[[#This Row],[Pagá Salario Nov 2023]]&gt;$D$9,tblPersoneel[[#This Row],[Pagá Salario Nov 2023]],$D$9))</f>
        <v>0</v>
      </c>
      <c r="Q33" s="61" t="str">
        <f>IFERROR((tblPersoneel[[#This Row],[Pagá Salario  2026]]/tblPersoneel[[#This Row],[uitbetalings deel]])/ tblPersoneel[[#This Row],[Oranan pa siman]],"")</f>
        <v/>
      </c>
      <c r="R3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3" s="62">
        <f>_xlfn.XLOOKUP(tblPersoneel[[#This Row],[Edat]],tblLeeftijdPercentage[Edat],tblLeeftijdPercentage[Persentage],0,0)</f>
        <v>0</v>
      </c>
      <c r="T33" s="62" t="e">
        <f>VLOOKUP(tblPersoneel[[#This Row],[Periodo di pago]],UitbetaalPeriode[],2,FALSE)</f>
        <v>#N/A</v>
      </c>
      <c r="U33" s="62" t="e">
        <f>VLOOKUP(tblPersoneel[[#This Row],[Periodo di pago]],UitbetaalPeriode[],3,FALSE)</f>
        <v>#N/A</v>
      </c>
      <c r="XEK33" s="26"/>
      <c r="XEL33" s="26"/>
      <c r="XEM33" s="26"/>
      <c r="XEN33" s="26"/>
      <c r="XEO33" s="26"/>
      <c r="XEP33" s="26"/>
      <c r="XEQ33" s="26"/>
      <c r="XER33" s="26"/>
      <c r="XET33" s="26"/>
    </row>
    <row r="34" spans="1:21 16365:16374" x14ac:dyDescent="0.25">
      <c r="A34" s="80"/>
      <c r="B34" s="90"/>
      <c r="C34" s="83"/>
      <c r="D34" s="84"/>
      <c r="E34" s="85"/>
      <c r="F34" s="85"/>
      <c r="G34" s="86"/>
      <c r="H34" s="87"/>
      <c r="I34" s="88"/>
      <c r="J34" s="89"/>
      <c r="K34" s="74" t="str">
        <f>IFERROR((tblPersoneel[[#This Row],[Pagá Salario Nov 2023]]/tblPersoneel[[#This Row],[uitbetalings deel]])/ tblPersoneel[[#This Row],[Oranan pa siman]],"")</f>
        <v/>
      </c>
      <c r="L3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4" s="85"/>
      <c r="N34" s="86"/>
      <c r="O34" s="87"/>
      <c r="P34" s="75">
        <f>IF(tblPersoneel[[#This Row],[Nòmber di funshon]]="",,IF(tblPersoneel[[#This Row],[Pagá Salario Nov 2023]]&gt;$D$9,tblPersoneel[[#This Row],[Pagá Salario Nov 2023]],$D$9))</f>
        <v>0</v>
      </c>
      <c r="Q34" s="61" t="str">
        <f>IFERROR((tblPersoneel[[#This Row],[Pagá Salario  2026]]/tblPersoneel[[#This Row],[uitbetalings deel]])/ tblPersoneel[[#This Row],[Oranan pa siman]],"")</f>
        <v/>
      </c>
      <c r="R3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4" s="62">
        <f>_xlfn.XLOOKUP(tblPersoneel[[#This Row],[Edat]],tblLeeftijdPercentage[Edat],tblLeeftijdPercentage[Persentage],0,0)</f>
        <v>0</v>
      </c>
      <c r="T34" s="62" t="e">
        <f>VLOOKUP(tblPersoneel[[#This Row],[Periodo di pago]],UitbetaalPeriode[],2,FALSE)</f>
        <v>#N/A</v>
      </c>
      <c r="U34" s="62" t="e">
        <f>VLOOKUP(tblPersoneel[[#This Row],[Periodo di pago]],UitbetaalPeriode[],3,FALSE)</f>
        <v>#N/A</v>
      </c>
      <c r="XEK34" s="26"/>
      <c r="XEL34" s="26"/>
      <c r="XEM34" s="26"/>
      <c r="XEN34" s="26"/>
      <c r="XEO34" s="26"/>
      <c r="XEP34" s="26"/>
      <c r="XEQ34" s="26"/>
      <c r="XER34" s="26"/>
      <c r="XET34" s="26"/>
    </row>
    <row r="35" spans="1:21 16365:16374" x14ac:dyDescent="0.25">
      <c r="A35" s="81"/>
      <c r="B35" s="82"/>
      <c r="C35" s="83"/>
      <c r="D35" s="84"/>
      <c r="E35" s="85"/>
      <c r="F35" s="85"/>
      <c r="G35" s="86"/>
      <c r="H35" s="87"/>
      <c r="I35" s="88"/>
      <c r="J35" s="89"/>
      <c r="K35" s="74" t="str">
        <f>IFERROR((tblPersoneel[[#This Row],[Pagá Salario Nov 2023]]/tblPersoneel[[#This Row],[uitbetalings deel]])/ tblPersoneel[[#This Row],[Oranan pa siman]],"")</f>
        <v/>
      </c>
      <c r="L3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5" s="85"/>
      <c r="N35" s="86"/>
      <c r="O35" s="87"/>
      <c r="P35" s="75">
        <f>IF(tblPersoneel[[#This Row],[Nòmber di funshon]]="",,IF(tblPersoneel[[#This Row],[Pagá Salario Nov 2023]]&gt;$D$9,tblPersoneel[[#This Row],[Pagá Salario Nov 2023]],$D$9))</f>
        <v>0</v>
      </c>
      <c r="Q35" s="61" t="str">
        <f>IFERROR((tblPersoneel[[#This Row],[Pagá Salario  2026]]/tblPersoneel[[#This Row],[uitbetalings deel]])/ tblPersoneel[[#This Row],[Oranan pa siman]],"")</f>
        <v/>
      </c>
      <c r="R3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5" s="62">
        <f>_xlfn.XLOOKUP(tblPersoneel[[#This Row],[Edat]],tblLeeftijdPercentage[Edat],tblLeeftijdPercentage[Persentage],0,0)</f>
        <v>0</v>
      </c>
      <c r="T35" s="62" t="e">
        <f>VLOOKUP(tblPersoneel[[#This Row],[Periodo di pago]],UitbetaalPeriode[],2,FALSE)</f>
        <v>#N/A</v>
      </c>
      <c r="U35" s="62" t="e">
        <f>VLOOKUP(tblPersoneel[[#This Row],[Periodo di pago]],UitbetaalPeriode[],3,FALSE)</f>
        <v>#N/A</v>
      </c>
      <c r="XEK35" s="26"/>
      <c r="XEL35" s="26"/>
      <c r="XEM35" s="26"/>
      <c r="XEN35" s="26"/>
      <c r="XEO35" s="26"/>
      <c r="XEP35" s="26"/>
      <c r="XEQ35" s="26"/>
      <c r="XER35" s="26"/>
      <c r="XET35" s="26"/>
    </row>
    <row r="36" spans="1:21 16365:16374" x14ac:dyDescent="0.25">
      <c r="A36" s="80"/>
      <c r="B36" s="90"/>
      <c r="C36" s="83"/>
      <c r="D36" s="84"/>
      <c r="E36" s="85"/>
      <c r="F36" s="85"/>
      <c r="G36" s="86"/>
      <c r="H36" s="87"/>
      <c r="I36" s="88"/>
      <c r="J36" s="89"/>
      <c r="K36" s="74" t="str">
        <f>IFERROR((tblPersoneel[[#This Row],[Pagá Salario Nov 2023]]/tblPersoneel[[#This Row],[uitbetalings deel]])/ tblPersoneel[[#This Row],[Oranan pa siman]],"")</f>
        <v/>
      </c>
      <c r="L3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6" s="85"/>
      <c r="N36" s="86"/>
      <c r="O36" s="87"/>
      <c r="P36" s="75">
        <f>IF(tblPersoneel[[#This Row],[Nòmber di funshon]]="",,IF(tblPersoneel[[#This Row],[Pagá Salario Nov 2023]]&gt;$D$9,tblPersoneel[[#This Row],[Pagá Salario Nov 2023]],$D$9))</f>
        <v>0</v>
      </c>
      <c r="Q36" s="61" t="str">
        <f>IFERROR((tblPersoneel[[#This Row],[Pagá Salario  2026]]/tblPersoneel[[#This Row],[uitbetalings deel]])/ tblPersoneel[[#This Row],[Oranan pa siman]],"")</f>
        <v/>
      </c>
      <c r="R3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6" s="62">
        <f>_xlfn.XLOOKUP(tblPersoneel[[#This Row],[Edat]],tblLeeftijdPercentage[Edat],tblLeeftijdPercentage[Persentage],0,0)</f>
        <v>0</v>
      </c>
      <c r="T36" s="62" t="e">
        <f>VLOOKUP(tblPersoneel[[#This Row],[Periodo di pago]],UitbetaalPeriode[],2,FALSE)</f>
        <v>#N/A</v>
      </c>
      <c r="U36" s="62" t="e">
        <f>VLOOKUP(tblPersoneel[[#This Row],[Periodo di pago]],UitbetaalPeriode[],3,FALSE)</f>
        <v>#N/A</v>
      </c>
      <c r="XEK36" s="26"/>
      <c r="XEL36" s="26"/>
      <c r="XEM36" s="26"/>
      <c r="XEN36" s="26"/>
      <c r="XEO36" s="26"/>
      <c r="XEP36" s="26"/>
      <c r="XEQ36" s="26"/>
      <c r="XER36" s="26"/>
      <c r="XET36" s="26"/>
    </row>
    <row r="37" spans="1:21 16365:16374" x14ac:dyDescent="0.25">
      <c r="A37" s="81"/>
      <c r="B37" s="82"/>
      <c r="C37" s="83"/>
      <c r="D37" s="84"/>
      <c r="E37" s="85"/>
      <c r="F37" s="85"/>
      <c r="G37" s="86"/>
      <c r="H37" s="87"/>
      <c r="I37" s="88"/>
      <c r="J37" s="89"/>
      <c r="K37" s="74" t="str">
        <f>IFERROR((tblPersoneel[[#This Row],[Pagá Salario Nov 2023]]/tblPersoneel[[#This Row],[uitbetalings deel]])/ tblPersoneel[[#This Row],[Oranan pa siman]],"")</f>
        <v/>
      </c>
      <c r="L3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7" s="85"/>
      <c r="N37" s="86"/>
      <c r="O37" s="87"/>
      <c r="P37" s="75">
        <f>IF(tblPersoneel[[#This Row],[Nòmber di funshon]]="",,IF(tblPersoneel[[#This Row],[Pagá Salario Nov 2023]]&gt;$D$9,tblPersoneel[[#This Row],[Pagá Salario Nov 2023]],$D$9))</f>
        <v>0</v>
      </c>
      <c r="Q37" s="61" t="str">
        <f>IFERROR((tblPersoneel[[#This Row],[Pagá Salario  2026]]/tblPersoneel[[#This Row],[uitbetalings deel]])/ tblPersoneel[[#This Row],[Oranan pa siman]],"")</f>
        <v/>
      </c>
      <c r="R3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7" s="62">
        <f>_xlfn.XLOOKUP(tblPersoneel[[#This Row],[Edat]],tblLeeftijdPercentage[Edat],tblLeeftijdPercentage[Persentage],0,0)</f>
        <v>0</v>
      </c>
      <c r="T37" s="62" t="e">
        <f>VLOOKUP(tblPersoneel[[#This Row],[Periodo di pago]],UitbetaalPeriode[],2,FALSE)</f>
        <v>#N/A</v>
      </c>
      <c r="U37" s="62" t="e">
        <f>VLOOKUP(tblPersoneel[[#This Row],[Periodo di pago]],UitbetaalPeriode[],3,FALSE)</f>
        <v>#N/A</v>
      </c>
      <c r="XEK37" s="26"/>
      <c r="XEL37" s="26"/>
      <c r="XEM37" s="26"/>
      <c r="XEN37" s="26"/>
      <c r="XEO37" s="26"/>
      <c r="XEP37" s="26"/>
      <c r="XEQ37" s="26"/>
      <c r="XER37" s="26"/>
      <c r="XET37" s="26"/>
    </row>
    <row r="38" spans="1:21 16365:16374" x14ac:dyDescent="0.25">
      <c r="A38" s="80"/>
      <c r="B38" s="90"/>
      <c r="C38" s="83"/>
      <c r="D38" s="84"/>
      <c r="E38" s="85"/>
      <c r="F38" s="85"/>
      <c r="G38" s="86"/>
      <c r="H38" s="87"/>
      <c r="I38" s="88"/>
      <c r="J38" s="89"/>
      <c r="K38" s="74" t="str">
        <f>IFERROR((tblPersoneel[[#This Row],[Pagá Salario Nov 2023]]/tblPersoneel[[#This Row],[uitbetalings deel]])/ tblPersoneel[[#This Row],[Oranan pa siman]],"")</f>
        <v/>
      </c>
      <c r="L3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8" s="85"/>
      <c r="N38" s="86"/>
      <c r="O38" s="87"/>
      <c r="P38" s="75">
        <f>IF(tblPersoneel[[#This Row],[Nòmber di funshon]]="",,IF(tblPersoneel[[#This Row],[Pagá Salario Nov 2023]]&gt;$D$9,tblPersoneel[[#This Row],[Pagá Salario Nov 2023]],$D$9))</f>
        <v>0</v>
      </c>
      <c r="Q38" s="61" t="str">
        <f>IFERROR((tblPersoneel[[#This Row],[Pagá Salario  2026]]/tblPersoneel[[#This Row],[uitbetalings deel]])/ tblPersoneel[[#This Row],[Oranan pa siman]],"")</f>
        <v/>
      </c>
      <c r="R3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8" s="62">
        <f>_xlfn.XLOOKUP(tblPersoneel[[#This Row],[Edat]],tblLeeftijdPercentage[Edat],tblLeeftijdPercentage[Persentage],0,0)</f>
        <v>0</v>
      </c>
      <c r="T38" s="62" t="e">
        <f>VLOOKUP(tblPersoneel[[#This Row],[Periodo di pago]],UitbetaalPeriode[],2,FALSE)</f>
        <v>#N/A</v>
      </c>
      <c r="U38" s="62" t="e">
        <f>VLOOKUP(tblPersoneel[[#This Row],[Periodo di pago]],UitbetaalPeriode[],3,FALSE)</f>
        <v>#N/A</v>
      </c>
      <c r="XEK38" s="26"/>
      <c r="XEL38" s="26"/>
      <c r="XEM38" s="26"/>
      <c r="XEN38" s="26"/>
      <c r="XEO38" s="26"/>
      <c r="XEP38" s="26"/>
      <c r="XEQ38" s="26"/>
      <c r="XER38" s="26"/>
      <c r="XET38" s="26"/>
    </row>
    <row r="39" spans="1:21 16365:16374" x14ac:dyDescent="0.25">
      <c r="A39" s="81"/>
      <c r="B39" s="82"/>
      <c r="C39" s="83"/>
      <c r="D39" s="84"/>
      <c r="E39" s="85"/>
      <c r="F39" s="85"/>
      <c r="G39" s="86"/>
      <c r="H39" s="87"/>
      <c r="I39" s="88"/>
      <c r="J39" s="89"/>
      <c r="K39" s="74" t="str">
        <f>IFERROR((tblPersoneel[[#This Row],[Pagá Salario Nov 2023]]/tblPersoneel[[#This Row],[uitbetalings deel]])/ tblPersoneel[[#This Row],[Oranan pa siman]],"")</f>
        <v/>
      </c>
      <c r="L3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39" s="85"/>
      <c r="N39" s="86"/>
      <c r="O39" s="87"/>
      <c r="P39" s="75">
        <f>IF(tblPersoneel[[#This Row],[Nòmber di funshon]]="",,IF(tblPersoneel[[#This Row],[Pagá Salario Nov 2023]]&gt;$D$9,tblPersoneel[[#This Row],[Pagá Salario Nov 2023]],$D$9))</f>
        <v>0</v>
      </c>
      <c r="Q39" s="61" t="str">
        <f>IFERROR((tblPersoneel[[#This Row],[Pagá Salario  2026]]/tblPersoneel[[#This Row],[uitbetalings deel]])/ tblPersoneel[[#This Row],[Oranan pa siman]],"")</f>
        <v/>
      </c>
      <c r="R3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39" s="62">
        <f>_xlfn.XLOOKUP(tblPersoneel[[#This Row],[Edat]],tblLeeftijdPercentage[Edat],tblLeeftijdPercentage[Persentage],0,0)</f>
        <v>0</v>
      </c>
      <c r="T39" s="62" t="e">
        <f>VLOOKUP(tblPersoneel[[#This Row],[Periodo di pago]],UitbetaalPeriode[],2,FALSE)</f>
        <v>#N/A</v>
      </c>
      <c r="U39" s="62" t="e">
        <f>VLOOKUP(tblPersoneel[[#This Row],[Periodo di pago]],UitbetaalPeriode[],3,FALSE)</f>
        <v>#N/A</v>
      </c>
      <c r="XEK39" s="26"/>
      <c r="XEL39" s="26"/>
      <c r="XEM39" s="26"/>
      <c r="XEN39" s="26"/>
      <c r="XEO39" s="26"/>
      <c r="XEP39" s="26"/>
      <c r="XEQ39" s="26"/>
      <c r="XER39" s="26"/>
      <c r="XET39" s="26"/>
    </row>
    <row r="40" spans="1:21 16365:16374" x14ac:dyDescent="0.25">
      <c r="A40" s="80"/>
      <c r="B40" s="90"/>
      <c r="C40" s="83"/>
      <c r="D40" s="84"/>
      <c r="E40" s="85"/>
      <c r="F40" s="85"/>
      <c r="G40" s="86"/>
      <c r="H40" s="87"/>
      <c r="I40" s="88"/>
      <c r="J40" s="89"/>
      <c r="K40" s="74" t="str">
        <f>IFERROR((tblPersoneel[[#This Row],[Pagá Salario Nov 2023]]/tblPersoneel[[#This Row],[uitbetalings deel]])/ tblPersoneel[[#This Row],[Oranan pa siman]],"")</f>
        <v/>
      </c>
      <c r="L4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0" s="85"/>
      <c r="N40" s="86"/>
      <c r="O40" s="87"/>
      <c r="P40" s="75">
        <f>IF(tblPersoneel[[#This Row],[Nòmber di funshon]]="",,IF(tblPersoneel[[#This Row],[Pagá Salario Nov 2023]]&gt;$D$9,tblPersoneel[[#This Row],[Pagá Salario Nov 2023]],$D$9))</f>
        <v>0</v>
      </c>
      <c r="Q40" s="61" t="str">
        <f>IFERROR((tblPersoneel[[#This Row],[Pagá Salario  2026]]/tblPersoneel[[#This Row],[uitbetalings deel]])/ tblPersoneel[[#This Row],[Oranan pa siman]],"")</f>
        <v/>
      </c>
      <c r="R4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0" s="62">
        <f>_xlfn.XLOOKUP(tblPersoneel[[#This Row],[Edat]],tblLeeftijdPercentage[Edat],tblLeeftijdPercentage[Persentage],0,0)</f>
        <v>0</v>
      </c>
      <c r="T40" s="62" t="e">
        <f>VLOOKUP(tblPersoneel[[#This Row],[Periodo di pago]],UitbetaalPeriode[],2,FALSE)</f>
        <v>#N/A</v>
      </c>
      <c r="U40" s="62" t="e">
        <f>VLOOKUP(tblPersoneel[[#This Row],[Periodo di pago]],UitbetaalPeriode[],3,FALSE)</f>
        <v>#N/A</v>
      </c>
    </row>
    <row r="41" spans="1:21 16365:16374" x14ac:dyDescent="0.25">
      <c r="A41" s="81"/>
      <c r="B41" s="82"/>
      <c r="C41" s="83"/>
      <c r="D41" s="84"/>
      <c r="E41" s="85"/>
      <c r="F41" s="85"/>
      <c r="G41" s="86"/>
      <c r="H41" s="87"/>
      <c r="I41" s="88"/>
      <c r="J41" s="89"/>
      <c r="K41" s="74" t="str">
        <f>IFERROR((tblPersoneel[[#This Row],[Pagá Salario Nov 2023]]/tblPersoneel[[#This Row],[uitbetalings deel]])/ tblPersoneel[[#This Row],[Oranan pa siman]],"")</f>
        <v/>
      </c>
      <c r="L4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1" s="85"/>
      <c r="N41" s="86"/>
      <c r="O41" s="87"/>
      <c r="P41" s="75">
        <f>IF(tblPersoneel[[#This Row],[Nòmber di funshon]]="",,IF(tblPersoneel[[#This Row],[Pagá Salario Nov 2023]]&gt;$D$9,tblPersoneel[[#This Row],[Pagá Salario Nov 2023]],$D$9))</f>
        <v>0</v>
      </c>
      <c r="Q41" s="61" t="str">
        <f>IFERROR((tblPersoneel[[#This Row],[Pagá Salario  2026]]/tblPersoneel[[#This Row],[uitbetalings deel]])/ tblPersoneel[[#This Row],[Oranan pa siman]],"")</f>
        <v/>
      </c>
      <c r="R4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1" s="62">
        <f>_xlfn.XLOOKUP(tblPersoneel[[#This Row],[Edat]],tblLeeftijdPercentage[Edat],tblLeeftijdPercentage[Persentage],0,0)</f>
        <v>0</v>
      </c>
      <c r="T41" s="62" t="e">
        <f>VLOOKUP(tblPersoneel[[#This Row],[Periodo di pago]],UitbetaalPeriode[],2,FALSE)</f>
        <v>#N/A</v>
      </c>
      <c r="U41" s="62" t="e">
        <f>VLOOKUP(tblPersoneel[[#This Row],[Periodo di pago]],UitbetaalPeriode[],3,FALSE)</f>
        <v>#N/A</v>
      </c>
    </row>
    <row r="42" spans="1:21 16365:16374" x14ac:dyDescent="0.25">
      <c r="A42" s="80"/>
      <c r="B42" s="90"/>
      <c r="C42" s="83"/>
      <c r="D42" s="84"/>
      <c r="E42" s="85"/>
      <c r="F42" s="85"/>
      <c r="G42" s="86"/>
      <c r="H42" s="87"/>
      <c r="I42" s="88"/>
      <c r="J42" s="89"/>
      <c r="K42" s="74" t="str">
        <f>IFERROR((tblPersoneel[[#This Row],[Pagá Salario Nov 2023]]/tblPersoneel[[#This Row],[uitbetalings deel]])/ tblPersoneel[[#This Row],[Oranan pa siman]],"")</f>
        <v/>
      </c>
      <c r="L4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2" s="85"/>
      <c r="N42" s="86"/>
      <c r="O42" s="87"/>
      <c r="P42" s="75">
        <f>IF(tblPersoneel[[#This Row],[Nòmber di funshon]]="",,IF(tblPersoneel[[#This Row],[Pagá Salario Nov 2023]]&gt;$D$9,tblPersoneel[[#This Row],[Pagá Salario Nov 2023]],$D$9))</f>
        <v>0</v>
      </c>
      <c r="Q42" s="61" t="str">
        <f>IFERROR((tblPersoneel[[#This Row],[Pagá Salario  2026]]/tblPersoneel[[#This Row],[uitbetalings deel]])/ tblPersoneel[[#This Row],[Oranan pa siman]],"")</f>
        <v/>
      </c>
      <c r="R4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2" s="62">
        <f>_xlfn.XLOOKUP(tblPersoneel[[#This Row],[Edat]],tblLeeftijdPercentage[Edat],tblLeeftijdPercentage[Persentage],0,0)</f>
        <v>0</v>
      </c>
      <c r="T42" s="62" t="e">
        <f>VLOOKUP(tblPersoneel[[#This Row],[Periodo di pago]],UitbetaalPeriode[],2,FALSE)</f>
        <v>#N/A</v>
      </c>
      <c r="U42" s="62" t="e">
        <f>VLOOKUP(tblPersoneel[[#This Row],[Periodo di pago]],UitbetaalPeriode[],3,FALSE)</f>
        <v>#N/A</v>
      </c>
    </row>
    <row r="43" spans="1:21 16365:16374" x14ac:dyDescent="0.25">
      <c r="A43" s="81"/>
      <c r="B43" s="82"/>
      <c r="C43" s="83"/>
      <c r="D43" s="84"/>
      <c r="E43" s="85"/>
      <c r="F43" s="85"/>
      <c r="G43" s="86"/>
      <c r="H43" s="87"/>
      <c r="I43" s="88"/>
      <c r="J43" s="89"/>
      <c r="K43" s="74" t="str">
        <f>IFERROR((tblPersoneel[[#This Row],[Pagá Salario Nov 2023]]/tblPersoneel[[#This Row],[uitbetalings deel]])/ tblPersoneel[[#This Row],[Oranan pa siman]],"")</f>
        <v/>
      </c>
      <c r="L4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3" s="85"/>
      <c r="N43" s="86"/>
      <c r="O43" s="87"/>
      <c r="P43" s="75">
        <f>IF(tblPersoneel[[#This Row],[Nòmber di funshon]]="",,IF(tblPersoneel[[#This Row],[Pagá Salario Nov 2023]]&gt;$D$9,tblPersoneel[[#This Row],[Pagá Salario Nov 2023]],$D$9))</f>
        <v>0</v>
      </c>
      <c r="Q43" s="61" t="str">
        <f>IFERROR((tblPersoneel[[#This Row],[Pagá Salario  2026]]/tblPersoneel[[#This Row],[uitbetalings deel]])/ tblPersoneel[[#This Row],[Oranan pa siman]],"")</f>
        <v/>
      </c>
      <c r="R4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3" s="62">
        <f>_xlfn.XLOOKUP(tblPersoneel[[#This Row],[Edat]],tblLeeftijdPercentage[Edat],tblLeeftijdPercentage[Persentage],0,0)</f>
        <v>0</v>
      </c>
      <c r="T43" s="62" t="e">
        <f>VLOOKUP(tblPersoneel[[#This Row],[Periodo di pago]],UitbetaalPeriode[],2,FALSE)</f>
        <v>#N/A</v>
      </c>
      <c r="U43" s="62" t="e">
        <f>VLOOKUP(tblPersoneel[[#This Row],[Periodo di pago]],UitbetaalPeriode[],3,FALSE)</f>
        <v>#N/A</v>
      </c>
    </row>
    <row r="44" spans="1:21 16365:16374" x14ac:dyDescent="0.25">
      <c r="A44" s="80"/>
      <c r="B44" s="90"/>
      <c r="C44" s="83"/>
      <c r="D44" s="84"/>
      <c r="E44" s="85"/>
      <c r="F44" s="85"/>
      <c r="G44" s="86"/>
      <c r="H44" s="87"/>
      <c r="I44" s="88"/>
      <c r="J44" s="89"/>
      <c r="K44" s="74" t="str">
        <f>IFERROR((tblPersoneel[[#This Row],[Pagá Salario Nov 2023]]/tblPersoneel[[#This Row],[uitbetalings deel]])/ tblPersoneel[[#This Row],[Oranan pa siman]],"")</f>
        <v/>
      </c>
      <c r="L4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4" s="85"/>
      <c r="N44" s="86"/>
      <c r="O44" s="87"/>
      <c r="P44" s="75">
        <f>IF(tblPersoneel[[#This Row],[Nòmber di funshon]]="",,IF(tblPersoneel[[#This Row],[Pagá Salario Nov 2023]]&gt;$D$9,tblPersoneel[[#This Row],[Pagá Salario Nov 2023]],$D$9))</f>
        <v>0</v>
      </c>
      <c r="Q44" s="61" t="str">
        <f>IFERROR((tblPersoneel[[#This Row],[Pagá Salario  2026]]/tblPersoneel[[#This Row],[uitbetalings deel]])/ tblPersoneel[[#This Row],[Oranan pa siman]],"")</f>
        <v/>
      </c>
      <c r="R4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4" s="62">
        <f>_xlfn.XLOOKUP(tblPersoneel[[#This Row],[Edat]],tblLeeftijdPercentage[Edat],tblLeeftijdPercentage[Persentage],0,0)</f>
        <v>0</v>
      </c>
      <c r="T44" s="62" t="e">
        <f>VLOOKUP(tblPersoneel[[#This Row],[Periodo di pago]],UitbetaalPeriode[],2,FALSE)</f>
        <v>#N/A</v>
      </c>
      <c r="U44" s="62" t="e">
        <f>VLOOKUP(tblPersoneel[[#This Row],[Periodo di pago]],UitbetaalPeriode[],3,FALSE)</f>
        <v>#N/A</v>
      </c>
    </row>
    <row r="45" spans="1:21 16365:16374" x14ac:dyDescent="0.25">
      <c r="A45" s="81"/>
      <c r="B45" s="82"/>
      <c r="C45" s="83"/>
      <c r="D45" s="84"/>
      <c r="E45" s="85"/>
      <c r="F45" s="85"/>
      <c r="G45" s="86"/>
      <c r="H45" s="87"/>
      <c r="I45" s="88"/>
      <c r="J45" s="89"/>
      <c r="K45" s="74" t="str">
        <f>IFERROR((tblPersoneel[[#This Row],[Pagá Salario Nov 2023]]/tblPersoneel[[#This Row],[uitbetalings deel]])/ tblPersoneel[[#This Row],[Oranan pa siman]],"")</f>
        <v/>
      </c>
      <c r="L4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5" s="85"/>
      <c r="N45" s="86"/>
      <c r="O45" s="87"/>
      <c r="P45" s="75">
        <f>IF(tblPersoneel[[#This Row],[Nòmber di funshon]]="",,IF(tblPersoneel[[#This Row],[Pagá Salario Nov 2023]]&gt;$D$9,tblPersoneel[[#This Row],[Pagá Salario Nov 2023]],$D$9))</f>
        <v>0</v>
      </c>
      <c r="Q45" s="61" t="str">
        <f>IFERROR((tblPersoneel[[#This Row],[Pagá Salario  2026]]/tblPersoneel[[#This Row],[uitbetalings deel]])/ tblPersoneel[[#This Row],[Oranan pa siman]],"")</f>
        <v/>
      </c>
      <c r="R4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5" s="62">
        <f>_xlfn.XLOOKUP(tblPersoneel[[#This Row],[Edat]],tblLeeftijdPercentage[Edat],tblLeeftijdPercentage[Persentage],0,0)</f>
        <v>0</v>
      </c>
      <c r="T45" s="62" t="e">
        <f>VLOOKUP(tblPersoneel[[#This Row],[Periodo di pago]],UitbetaalPeriode[],2,FALSE)</f>
        <v>#N/A</v>
      </c>
      <c r="U45" s="62" t="e">
        <f>VLOOKUP(tblPersoneel[[#This Row],[Periodo di pago]],UitbetaalPeriode[],3,FALSE)</f>
        <v>#N/A</v>
      </c>
    </row>
    <row r="46" spans="1:21 16365:16374" x14ac:dyDescent="0.25">
      <c r="A46" s="80"/>
      <c r="B46" s="90"/>
      <c r="C46" s="83"/>
      <c r="D46" s="84"/>
      <c r="E46" s="85"/>
      <c r="F46" s="85"/>
      <c r="G46" s="86"/>
      <c r="H46" s="87"/>
      <c r="I46" s="88"/>
      <c r="J46" s="89"/>
      <c r="K46" s="74" t="str">
        <f>IFERROR((tblPersoneel[[#This Row],[Pagá Salario Nov 2023]]/tblPersoneel[[#This Row],[uitbetalings deel]])/ tblPersoneel[[#This Row],[Oranan pa siman]],"")</f>
        <v/>
      </c>
      <c r="L4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6" s="85"/>
      <c r="N46" s="86"/>
      <c r="O46" s="87"/>
      <c r="P46" s="75">
        <f>IF(tblPersoneel[[#This Row],[Nòmber di funshon]]="",,IF(tblPersoneel[[#This Row],[Pagá Salario Nov 2023]]&gt;$D$9,tblPersoneel[[#This Row],[Pagá Salario Nov 2023]],$D$9))</f>
        <v>0</v>
      </c>
      <c r="Q46" s="61" t="str">
        <f>IFERROR((tblPersoneel[[#This Row],[Pagá Salario  2026]]/tblPersoneel[[#This Row],[uitbetalings deel]])/ tblPersoneel[[#This Row],[Oranan pa siman]],"")</f>
        <v/>
      </c>
      <c r="R4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6" s="62">
        <f>_xlfn.XLOOKUP(tblPersoneel[[#This Row],[Edat]],tblLeeftijdPercentage[Edat],tblLeeftijdPercentage[Persentage],0,0)</f>
        <v>0</v>
      </c>
      <c r="T46" s="62" t="e">
        <f>VLOOKUP(tblPersoneel[[#This Row],[Periodo di pago]],UitbetaalPeriode[],2,FALSE)</f>
        <v>#N/A</v>
      </c>
      <c r="U46" s="62" t="e">
        <f>VLOOKUP(tblPersoneel[[#This Row],[Periodo di pago]],UitbetaalPeriode[],3,FALSE)</f>
        <v>#N/A</v>
      </c>
    </row>
    <row r="47" spans="1:21 16365:16374" x14ac:dyDescent="0.25">
      <c r="A47" s="91"/>
      <c r="B47" s="83"/>
      <c r="C47" s="83"/>
      <c r="D47" s="84"/>
      <c r="E47" s="85"/>
      <c r="F47" s="85"/>
      <c r="G47" s="86"/>
      <c r="H47" s="87"/>
      <c r="I47" s="88"/>
      <c r="J47" s="89"/>
      <c r="K47" s="74" t="str">
        <f>IFERROR((tblPersoneel[[#This Row],[Pagá Salario Nov 2023]]/tblPersoneel[[#This Row],[uitbetalings deel]])/ tblPersoneel[[#This Row],[Oranan pa siman]],"")</f>
        <v/>
      </c>
      <c r="L4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7" s="85"/>
      <c r="N47" s="86"/>
      <c r="O47" s="87"/>
      <c r="P47" s="75">
        <f>IF(tblPersoneel[[#This Row],[Nòmber di funshon]]="",,IF(tblPersoneel[[#This Row],[Pagá Salario Nov 2023]]&gt;$D$9,tblPersoneel[[#This Row],[Pagá Salario Nov 2023]],$D$9))</f>
        <v>0</v>
      </c>
      <c r="Q47" s="61" t="str">
        <f>IFERROR((tblPersoneel[[#This Row],[Pagá Salario  2026]]/tblPersoneel[[#This Row],[uitbetalings deel]])/ tblPersoneel[[#This Row],[Oranan pa siman]],"")</f>
        <v/>
      </c>
      <c r="R4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7" s="62">
        <f>_xlfn.XLOOKUP(tblPersoneel[[#This Row],[Edat]],tblLeeftijdPercentage[Edat],tblLeeftijdPercentage[Persentage],0,0)</f>
        <v>0</v>
      </c>
      <c r="T47" s="62" t="e">
        <f>VLOOKUP(tblPersoneel[[#This Row],[Periodo di pago]],UitbetaalPeriode[],2,FALSE)</f>
        <v>#N/A</v>
      </c>
      <c r="U47" s="62" t="e">
        <f>VLOOKUP(tblPersoneel[[#This Row],[Periodo di pago]],UitbetaalPeriode[],3,FALSE)</f>
        <v>#N/A</v>
      </c>
    </row>
    <row r="48" spans="1:21 16365:16374" x14ac:dyDescent="0.25">
      <c r="A48" s="91"/>
      <c r="B48" s="83"/>
      <c r="C48" s="83"/>
      <c r="D48" s="84"/>
      <c r="E48" s="85"/>
      <c r="F48" s="85"/>
      <c r="G48" s="86"/>
      <c r="H48" s="87"/>
      <c r="I48" s="88"/>
      <c r="J48" s="89"/>
      <c r="K48" s="74" t="str">
        <f>IFERROR((tblPersoneel[[#This Row],[Pagá Salario Nov 2023]]/tblPersoneel[[#This Row],[uitbetalings deel]])/ tblPersoneel[[#This Row],[Oranan pa siman]],"")</f>
        <v/>
      </c>
      <c r="L4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8" s="85"/>
      <c r="N48" s="86"/>
      <c r="O48" s="87"/>
      <c r="P48" s="75">
        <f>IF(tblPersoneel[[#This Row],[Nòmber di funshon]]="",,IF(tblPersoneel[[#This Row],[Pagá Salario Nov 2023]]&gt;$D$9,tblPersoneel[[#This Row],[Pagá Salario Nov 2023]],$D$9))</f>
        <v>0</v>
      </c>
      <c r="Q48" s="61" t="str">
        <f>IFERROR((tblPersoneel[[#This Row],[Pagá Salario  2026]]/tblPersoneel[[#This Row],[uitbetalings deel]])/ tblPersoneel[[#This Row],[Oranan pa siman]],"")</f>
        <v/>
      </c>
      <c r="R4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8" s="62">
        <f>_xlfn.XLOOKUP(tblPersoneel[[#This Row],[Edat]],tblLeeftijdPercentage[Edat],tblLeeftijdPercentage[Persentage],0,0)</f>
        <v>0</v>
      </c>
      <c r="T48" s="62" t="e">
        <f>VLOOKUP(tblPersoneel[[#This Row],[Periodo di pago]],UitbetaalPeriode[],2,FALSE)</f>
        <v>#N/A</v>
      </c>
      <c r="U48" s="62" t="e">
        <f>VLOOKUP(tblPersoneel[[#This Row],[Periodo di pago]],UitbetaalPeriode[],3,FALSE)</f>
        <v>#N/A</v>
      </c>
    </row>
    <row r="49" spans="1:21" x14ac:dyDescent="0.25">
      <c r="A49" s="91"/>
      <c r="B49" s="83"/>
      <c r="C49" s="83"/>
      <c r="D49" s="84"/>
      <c r="E49" s="85"/>
      <c r="F49" s="85"/>
      <c r="G49" s="86"/>
      <c r="H49" s="87"/>
      <c r="I49" s="88"/>
      <c r="J49" s="89"/>
      <c r="K49" s="74" t="str">
        <f>IFERROR((tblPersoneel[[#This Row],[Pagá Salario Nov 2023]]/tblPersoneel[[#This Row],[uitbetalings deel]])/ tblPersoneel[[#This Row],[Oranan pa siman]],"")</f>
        <v/>
      </c>
      <c r="L4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49" s="85"/>
      <c r="N49" s="86"/>
      <c r="O49" s="87"/>
      <c r="P49" s="75">
        <f>IF(tblPersoneel[[#This Row],[Nòmber di funshon]]="",,IF(tblPersoneel[[#This Row],[Pagá Salario Nov 2023]]&gt;$D$9,tblPersoneel[[#This Row],[Pagá Salario Nov 2023]],$D$9))</f>
        <v>0</v>
      </c>
      <c r="Q49" s="61" t="str">
        <f>IFERROR((tblPersoneel[[#This Row],[Pagá Salario  2026]]/tblPersoneel[[#This Row],[uitbetalings deel]])/ tblPersoneel[[#This Row],[Oranan pa siman]],"")</f>
        <v/>
      </c>
      <c r="R4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49" s="62">
        <f>_xlfn.XLOOKUP(tblPersoneel[[#This Row],[Edat]],tblLeeftijdPercentage[Edat],tblLeeftijdPercentage[Persentage],0,0)</f>
        <v>0</v>
      </c>
      <c r="T49" s="62" t="e">
        <f>VLOOKUP(tblPersoneel[[#This Row],[Periodo di pago]],UitbetaalPeriode[],2,FALSE)</f>
        <v>#N/A</v>
      </c>
      <c r="U49" s="62" t="e">
        <f>VLOOKUP(tblPersoneel[[#This Row],[Periodo di pago]],UitbetaalPeriode[],3,FALSE)</f>
        <v>#N/A</v>
      </c>
    </row>
    <row r="50" spans="1:21" x14ac:dyDescent="0.25">
      <c r="A50" s="56"/>
      <c r="B50" s="56"/>
      <c r="C50" s="56"/>
      <c r="D50" s="84"/>
      <c r="E50" s="85"/>
      <c r="F50" s="85"/>
      <c r="G50" s="86"/>
      <c r="H50" s="87"/>
      <c r="I50" s="88"/>
      <c r="J50" s="89"/>
      <c r="K50" s="74" t="str">
        <f>IFERROR((tblPersoneel[[#This Row],[Pagá Salario Nov 2023]]/tblPersoneel[[#This Row],[uitbetalings deel]])/ tblPersoneel[[#This Row],[Oranan pa siman]],"")</f>
        <v/>
      </c>
      <c r="L5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0" s="85"/>
      <c r="N50" s="86"/>
      <c r="O50" s="87"/>
      <c r="P50" s="75">
        <f>IF(tblPersoneel[[#This Row],[Nòmber di funshon]]="",,IF(tblPersoneel[[#This Row],[Pagá Salario Nov 2023]]&gt;$D$9,tblPersoneel[[#This Row],[Pagá Salario Nov 2023]],$D$9))</f>
        <v>0</v>
      </c>
      <c r="Q50" s="61" t="str">
        <f>IFERROR((tblPersoneel[[#This Row],[Pagá Salario  2026]]/tblPersoneel[[#This Row],[uitbetalings deel]])/ tblPersoneel[[#This Row],[Oranan pa siman]],"")</f>
        <v/>
      </c>
      <c r="R5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0" s="62">
        <f>_xlfn.XLOOKUP(tblPersoneel[[#This Row],[Edat]],tblLeeftijdPercentage[Edat],tblLeeftijdPercentage[Persentage],0,0)</f>
        <v>0</v>
      </c>
      <c r="T50" s="62" t="e">
        <f>VLOOKUP(tblPersoneel[[#This Row],[Periodo di pago]],UitbetaalPeriode[],2,FALSE)</f>
        <v>#N/A</v>
      </c>
      <c r="U50" s="62" t="e">
        <f>VLOOKUP(tblPersoneel[[#This Row],[Periodo di pago]],UitbetaalPeriode[],3,FALSE)</f>
        <v>#N/A</v>
      </c>
    </row>
    <row r="51" spans="1:21" x14ac:dyDescent="0.25">
      <c r="A51" s="56"/>
      <c r="B51" s="56"/>
      <c r="C51" s="56"/>
      <c r="D51" s="84"/>
      <c r="E51" s="85"/>
      <c r="F51" s="85"/>
      <c r="G51" s="86"/>
      <c r="H51" s="87"/>
      <c r="I51" s="88"/>
      <c r="J51" s="89"/>
      <c r="K51" s="74" t="str">
        <f>IFERROR((tblPersoneel[[#This Row],[Pagá Salario Nov 2023]]/tblPersoneel[[#This Row],[uitbetalings deel]])/ tblPersoneel[[#This Row],[Oranan pa siman]],"")</f>
        <v/>
      </c>
      <c r="L5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1" s="85"/>
      <c r="N51" s="86"/>
      <c r="O51" s="87"/>
      <c r="P51" s="75">
        <f>IF(tblPersoneel[[#This Row],[Nòmber di funshon]]="",,IF(tblPersoneel[[#This Row],[Pagá Salario Nov 2023]]&gt;$D$9,tblPersoneel[[#This Row],[Pagá Salario Nov 2023]],$D$9))</f>
        <v>0</v>
      </c>
      <c r="Q51" s="61" t="str">
        <f>IFERROR((tblPersoneel[[#This Row],[Pagá Salario  2026]]/tblPersoneel[[#This Row],[uitbetalings deel]])/ tblPersoneel[[#This Row],[Oranan pa siman]],"")</f>
        <v/>
      </c>
      <c r="R5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1" s="62">
        <f>_xlfn.XLOOKUP(tblPersoneel[[#This Row],[Edat]],tblLeeftijdPercentage[Edat],tblLeeftijdPercentage[Persentage],0,0)</f>
        <v>0</v>
      </c>
      <c r="T51" s="62" t="e">
        <f>VLOOKUP(tblPersoneel[[#This Row],[Periodo di pago]],UitbetaalPeriode[],2,FALSE)</f>
        <v>#N/A</v>
      </c>
      <c r="U51" s="62" t="e">
        <f>VLOOKUP(tblPersoneel[[#This Row],[Periodo di pago]],UitbetaalPeriode[],3,FALSE)</f>
        <v>#N/A</v>
      </c>
    </row>
    <row r="52" spans="1:21" x14ac:dyDescent="0.25">
      <c r="A52" s="56"/>
      <c r="B52" s="56"/>
      <c r="C52" s="56"/>
      <c r="D52" s="84"/>
      <c r="E52" s="85"/>
      <c r="F52" s="85"/>
      <c r="G52" s="86"/>
      <c r="H52" s="87"/>
      <c r="I52" s="88"/>
      <c r="J52" s="89"/>
      <c r="K52" s="74" t="str">
        <f>IFERROR((tblPersoneel[[#This Row],[Pagá Salario Nov 2023]]/tblPersoneel[[#This Row],[uitbetalings deel]])/ tblPersoneel[[#This Row],[Oranan pa siman]],"")</f>
        <v/>
      </c>
      <c r="L5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2" s="85"/>
      <c r="N52" s="86"/>
      <c r="O52" s="87"/>
      <c r="P52" s="75">
        <f>IF(tblPersoneel[[#This Row],[Nòmber di funshon]]="",,IF(tblPersoneel[[#This Row],[Pagá Salario Nov 2023]]&gt;$D$9,tblPersoneel[[#This Row],[Pagá Salario Nov 2023]],$D$9))</f>
        <v>0</v>
      </c>
      <c r="Q52" s="61" t="str">
        <f>IFERROR((tblPersoneel[[#This Row],[Pagá Salario  2026]]/tblPersoneel[[#This Row],[uitbetalings deel]])/ tblPersoneel[[#This Row],[Oranan pa siman]],"")</f>
        <v/>
      </c>
      <c r="R5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2" s="62">
        <f>_xlfn.XLOOKUP(tblPersoneel[[#This Row],[Edat]],tblLeeftijdPercentage[Edat],tblLeeftijdPercentage[Persentage],0,0)</f>
        <v>0</v>
      </c>
      <c r="T52" s="62" t="e">
        <f>VLOOKUP(tblPersoneel[[#This Row],[Periodo di pago]],UitbetaalPeriode[],2,FALSE)</f>
        <v>#N/A</v>
      </c>
      <c r="U52" s="62" t="e">
        <f>VLOOKUP(tblPersoneel[[#This Row],[Periodo di pago]],UitbetaalPeriode[],3,FALSE)</f>
        <v>#N/A</v>
      </c>
    </row>
    <row r="53" spans="1:21" x14ac:dyDescent="0.25">
      <c r="A53" s="56"/>
      <c r="B53" s="56"/>
      <c r="C53" s="56"/>
      <c r="D53" s="84"/>
      <c r="E53" s="85"/>
      <c r="F53" s="85"/>
      <c r="G53" s="86"/>
      <c r="H53" s="87"/>
      <c r="I53" s="88"/>
      <c r="J53" s="89"/>
      <c r="K53" s="74" t="str">
        <f>IFERROR((tblPersoneel[[#This Row],[Pagá Salario Nov 2023]]/tblPersoneel[[#This Row],[uitbetalings deel]])/ tblPersoneel[[#This Row],[Oranan pa siman]],"")</f>
        <v/>
      </c>
      <c r="L5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3" s="85"/>
      <c r="N53" s="86"/>
      <c r="O53" s="87"/>
      <c r="P53" s="75">
        <f>IF(tblPersoneel[[#This Row],[Nòmber di funshon]]="",,IF(tblPersoneel[[#This Row],[Pagá Salario Nov 2023]]&gt;$D$9,tblPersoneel[[#This Row],[Pagá Salario Nov 2023]],$D$9))</f>
        <v>0</v>
      </c>
      <c r="Q53" s="61" t="str">
        <f>IFERROR((tblPersoneel[[#This Row],[Pagá Salario  2026]]/tblPersoneel[[#This Row],[uitbetalings deel]])/ tblPersoneel[[#This Row],[Oranan pa siman]],"")</f>
        <v/>
      </c>
      <c r="R5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3" s="62">
        <f>_xlfn.XLOOKUP(tblPersoneel[[#This Row],[Edat]],tblLeeftijdPercentage[Edat],tblLeeftijdPercentage[Persentage],0,0)</f>
        <v>0</v>
      </c>
      <c r="T53" s="62" t="e">
        <f>VLOOKUP(tblPersoneel[[#This Row],[Periodo di pago]],UitbetaalPeriode[],2,FALSE)</f>
        <v>#N/A</v>
      </c>
      <c r="U53" s="62" t="e">
        <f>VLOOKUP(tblPersoneel[[#This Row],[Periodo di pago]],UitbetaalPeriode[],3,FALSE)</f>
        <v>#N/A</v>
      </c>
    </row>
    <row r="54" spans="1:21" x14ac:dyDescent="0.25">
      <c r="A54" s="56"/>
      <c r="B54" s="56"/>
      <c r="C54" s="56"/>
      <c r="D54" s="84"/>
      <c r="E54" s="85"/>
      <c r="F54" s="85"/>
      <c r="G54" s="86"/>
      <c r="H54" s="87"/>
      <c r="I54" s="88"/>
      <c r="J54" s="89"/>
      <c r="K54" s="74" t="str">
        <f>IFERROR((tblPersoneel[[#This Row],[Pagá Salario Nov 2023]]/tblPersoneel[[#This Row],[uitbetalings deel]])/ tblPersoneel[[#This Row],[Oranan pa siman]],"")</f>
        <v/>
      </c>
      <c r="L5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4" s="85"/>
      <c r="N54" s="86"/>
      <c r="O54" s="87"/>
      <c r="P54" s="75">
        <f>IF(tblPersoneel[[#This Row],[Nòmber di funshon]]="",,IF(tblPersoneel[[#This Row],[Pagá Salario Nov 2023]]&gt;$D$9,tblPersoneel[[#This Row],[Pagá Salario Nov 2023]],$D$9))</f>
        <v>0</v>
      </c>
      <c r="Q54" s="61" t="str">
        <f>IFERROR((tblPersoneel[[#This Row],[Pagá Salario  2026]]/tblPersoneel[[#This Row],[uitbetalings deel]])/ tblPersoneel[[#This Row],[Oranan pa siman]],"")</f>
        <v/>
      </c>
      <c r="R5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4" s="62">
        <f>_xlfn.XLOOKUP(tblPersoneel[[#This Row],[Edat]],tblLeeftijdPercentage[Edat],tblLeeftijdPercentage[Persentage],0,0)</f>
        <v>0</v>
      </c>
      <c r="T54" s="62" t="e">
        <f>VLOOKUP(tblPersoneel[[#This Row],[Periodo di pago]],UitbetaalPeriode[],2,FALSE)</f>
        <v>#N/A</v>
      </c>
      <c r="U54" s="62" t="e">
        <f>VLOOKUP(tblPersoneel[[#This Row],[Periodo di pago]],UitbetaalPeriode[],3,FALSE)</f>
        <v>#N/A</v>
      </c>
    </row>
    <row r="55" spans="1:21" x14ac:dyDescent="0.25">
      <c r="A55" s="56"/>
      <c r="B55" s="56"/>
      <c r="C55" s="56"/>
      <c r="D55" s="84"/>
      <c r="E55" s="85"/>
      <c r="F55" s="85"/>
      <c r="G55" s="86"/>
      <c r="H55" s="87"/>
      <c r="I55" s="88"/>
      <c r="J55" s="89"/>
      <c r="K55" s="74" t="str">
        <f>IFERROR((tblPersoneel[[#This Row],[Pagá Salario Nov 2023]]/tblPersoneel[[#This Row],[uitbetalings deel]])/ tblPersoneel[[#This Row],[Oranan pa siman]],"")</f>
        <v/>
      </c>
      <c r="L5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5" s="85"/>
      <c r="N55" s="86"/>
      <c r="O55" s="87"/>
      <c r="P55" s="75">
        <f>IF(tblPersoneel[[#This Row],[Nòmber di funshon]]="",,IF(tblPersoneel[[#This Row],[Pagá Salario Nov 2023]]&gt;$D$9,tblPersoneel[[#This Row],[Pagá Salario Nov 2023]],$D$9))</f>
        <v>0</v>
      </c>
      <c r="Q55" s="61" t="str">
        <f>IFERROR((tblPersoneel[[#This Row],[Pagá Salario  2026]]/tblPersoneel[[#This Row],[uitbetalings deel]])/ tblPersoneel[[#This Row],[Oranan pa siman]],"")</f>
        <v/>
      </c>
      <c r="R5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5" s="62">
        <f>_xlfn.XLOOKUP(tblPersoneel[[#This Row],[Edat]],tblLeeftijdPercentage[Edat],tblLeeftijdPercentage[Persentage],0,0)</f>
        <v>0</v>
      </c>
      <c r="T55" s="62" t="e">
        <f>VLOOKUP(tblPersoneel[[#This Row],[Periodo di pago]],UitbetaalPeriode[],2,FALSE)</f>
        <v>#N/A</v>
      </c>
      <c r="U55" s="62" t="e">
        <f>VLOOKUP(tblPersoneel[[#This Row],[Periodo di pago]],UitbetaalPeriode[],3,FALSE)</f>
        <v>#N/A</v>
      </c>
    </row>
    <row r="56" spans="1:21" x14ac:dyDescent="0.25">
      <c r="A56" s="56"/>
      <c r="B56" s="56"/>
      <c r="C56" s="56"/>
      <c r="D56" s="84"/>
      <c r="E56" s="85"/>
      <c r="F56" s="85"/>
      <c r="G56" s="86"/>
      <c r="H56" s="87"/>
      <c r="I56" s="88"/>
      <c r="J56" s="89"/>
      <c r="K56" s="74" t="str">
        <f>IFERROR((tblPersoneel[[#This Row],[Pagá Salario Nov 2023]]/tblPersoneel[[#This Row],[uitbetalings deel]])/ tblPersoneel[[#This Row],[Oranan pa siman]],"")</f>
        <v/>
      </c>
      <c r="L5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6" s="85"/>
      <c r="N56" s="86"/>
      <c r="O56" s="87"/>
      <c r="P56" s="75">
        <f>IF(tblPersoneel[[#This Row],[Nòmber di funshon]]="",,IF(tblPersoneel[[#This Row],[Pagá Salario Nov 2023]]&gt;$D$9,tblPersoneel[[#This Row],[Pagá Salario Nov 2023]],$D$9))</f>
        <v>0</v>
      </c>
      <c r="Q56" s="61" t="str">
        <f>IFERROR((tblPersoneel[[#This Row],[Pagá Salario  2026]]/tblPersoneel[[#This Row],[uitbetalings deel]])/ tblPersoneel[[#This Row],[Oranan pa siman]],"")</f>
        <v/>
      </c>
      <c r="R5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6" s="62">
        <f>_xlfn.XLOOKUP(tblPersoneel[[#This Row],[Edat]],tblLeeftijdPercentage[Edat],tblLeeftijdPercentage[Persentage],0,0)</f>
        <v>0</v>
      </c>
      <c r="T56" s="62" t="e">
        <f>VLOOKUP(tblPersoneel[[#This Row],[Periodo di pago]],UitbetaalPeriode[],2,FALSE)</f>
        <v>#N/A</v>
      </c>
      <c r="U56" s="62" t="e">
        <f>VLOOKUP(tblPersoneel[[#This Row],[Periodo di pago]],UitbetaalPeriode[],3,FALSE)</f>
        <v>#N/A</v>
      </c>
    </row>
    <row r="57" spans="1:21" x14ac:dyDescent="0.25">
      <c r="A57" s="56"/>
      <c r="B57" s="56"/>
      <c r="C57" s="56"/>
      <c r="D57" s="84"/>
      <c r="E57" s="85"/>
      <c r="F57" s="85"/>
      <c r="G57" s="86"/>
      <c r="H57" s="87"/>
      <c r="I57" s="88"/>
      <c r="J57" s="89"/>
      <c r="K57" s="74" t="str">
        <f>IFERROR((tblPersoneel[[#This Row],[Pagá Salario Nov 2023]]/tblPersoneel[[#This Row],[uitbetalings deel]])/ tblPersoneel[[#This Row],[Oranan pa siman]],"")</f>
        <v/>
      </c>
      <c r="L5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7" s="85"/>
      <c r="N57" s="86"/>
      <c r="O57" s="87"/>
      <c r="P57" s="75">
        <f>IF(tblPersoneel[[#This Row],[Nòmber di funshon]]="",,IF(tblPersoneel[[#This Row],[Pagá Salario Nov 2023]]&gt;$D$9,tblPersoneel[[#This Row],[Pagá Salario Nov 2023]],$D$9))</f>
        <v>0</v>
      </c>
      <c r="Q57" s="61" t="str">
        <f>IFERROR((tblPersoneel[[#This Row],[Pagá Salario  2026]]/tblPersoneel[[#This Row],[uitbetalings deel]])/ tblPersoneel[[#This Row],[Oranan pa siman]],"")</f>
        <v/>
      </c>
      <c r="R5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7" s="62">
        <f>_xlfn.XLOOKUP(tblPersoneel[[#This Row],[Edat]],tblLeeftijdPercentage[Edat],tblLeeftijdPercentage[Persentage],0,0)</f>
        <v>0</v>
      </c>
      <c r="T57" s="62" t="e">
        <f>VLOOKUP(tblPersoneel[[#This Row],[Periodo di pago]],UitbetaalPeriode[],2,FALSE)</f>
        <v>#N/A</v>
      </c>
      <c r="U57" s="62" t="e">
        <f>VLOOKUP(tblPersoneel[[#This Row],[Periodo di pago]],UitbetaalPeriode[],3,FALSE)</f>
        <v>#N/A</v>
      </c>
    </row>
    <row r="58" spans="1:21" x14ac:dyDescent="0.25">
      <c r="A58" s="56"/>
      <c r="B58" s="56"/>
      <c r="C58" s="56"/>
      <c r="D58" s="84"/>
      <c r="E58" s="85"/>
      <c r="F58" s="85"/>
      <c r="G58" s="86"/>
      <c r="H58" s="87"/>
      <c r="I58" s="88"/>
      <c r="J58" s="89"/>
      <c r="K58" s="74" t="str">
        <f>IFERROR((tblPersoneel[[#This Row],[Pagá Salario Nov 2023]]/tblPersoneel[[#This Row],[uitbetalings deel]])/ tblPersoneel[[#This Row],[Oranan pa siman]],"")</f>
        <v/>
      </c>
      <c r="L5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8" s="85"/>
      <c r="N58" s="86"/>
      <c r="O58" s="87"/>
      <c r="P58" s="75">
        <f>IF(tblPersoneel[[#This Row],[Nòmber di funshon]]="",,IF(tblPersoneel[[#This Row],[Pagá Salario Nov 2023]]&gt;$D$9,tblPersoneel[[#This Row],[Pagá Salario Nov 2023]],$D$9))</f>
        <v>0</v>
      </c>
      <c r="Q58" s="61" t="str">
        <f>IFERROR((tblPersoneel[[#This Row],[Pagá Salario  2026]]/tblPersoneel[[#This Row],[uitbetalings deel]])/ tblPersoneel[[#This Row],[Oranan pa siman]],"")</f>
        <v/>
      </c>
      <c r="R5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8" s="62">
        <f>_xlfn.XLOOKUP(tblPersoneel[[#This Row],[Edat]],tblLeeftijdPercentage[Edat],tblLeeftijdPercentage[Persentage],0,0)</f>
        <v>0</v>
      </c>
      <c r="T58" s="62" t="e">
        <f>VLOOKUP(tblPersoneel[[#This Row],[Periodo di pago]],UitbetaalPeriode[],2,FALSE)</f>
        <v>#N/A</v>
      </c>
      <c r="U58" s="62" t="e">
        <f>VLOOKUP(tblPersoneel[[#This Row],[Periodo di pago]],UitbetaalPeriode[],3,FALSE)</f>
        <v>#N/A</v>
      </c>
    </row>
    <row r="59" spans="1:21" x14ac:dyDescent="0.25">
      <c r="A59" s="56"/>
      <c r="B59" s="56"/>
      <c r="C59" s="56"/>
      <c r="D59" s="84"/>
      <c r="E59" s="85"/>
      <c r="F59" s="85"/>
      <c r="G59" s="86"/>
      <c r="H59" s="87"/>
      <c r="I59" s="88"/>
      <c r="J59" s="89"/>
      <c r="K59" s="74" t="str">
        <f>IFERROR((tblPersoneel[[#This Row],[Pagá Salario Nov 2023]]/tblPersoneel[[#This Row],[uitbetalings deel]])/ tblPersoneel[[#This Row],[Oranan pa siman]],"")</f>
        <v/>
      </c>
      <c r="L5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59" s="85"/>
      <c r="N59" s="86"/>
      <c r="O59" s="87"/>
      <c r="P59" s="75">
        <f>IF(tblPersoneel[[#This Row],[Nòmber di funshon]]="",,IF(tblPersoneel[[#This Row],[Pagá Salario Nov 2023]]&gt;$D$9,tblPersoneel[[#This Row],[Pagá Salario Nov 2023]],$D$9))</f>
        <v>0</v>
      </c>
      <c r="Q59" s="61" t="str">
        <f>IFERROR((tblPersoneel[[#This Row],[Pagá Salario  2026]]/tblPersoneel[[#This Row],[uitbetalings deel]])/ tblPersoneel[[#This Row],[Oranan pa siman]],"")</f>
        <v/>
      </c>
      <c r="R5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59" s="62">
        <f>_xlfn.XLOOKUP(tblPersoneel[[#This Row],[Edat]],tblLeeftijdPercentage[Edat],tblLeeftijdPercentage[Persentage],0,0)</f>
        <v>0</v>
      </c>
      <c r="T59" s="62" t="e">
        <f>VLOOKUP(tblPersoneel[[#This Row],[Periodo di pago]],UitbetaalPeriode[],2,FALSE)</f>
        <v>#N/A</v>
      </c>
      <c r="U59" s="62" t="e">
        <f>VLOOKUP(tblPersoneel[[#This Row],[Periodo di pago]],UitbetaalPeriode[],3,FALSE)</f>
        <v>#N/A</v>
      </c>
    </row>
    <row r="60" spans="1:21" x14ac:dyDescent="0.25">
      <c r="A60" s="56"/>
      <c r="B60" s="56"/>
      <c r="C60" s="56"/>
      <c r="D60" s="84"/>
      <c r="E60" s="85"/>
      <c r="F60" s="85"/>
      <c r="G60" s="86"/>
      <c r="H60" s="87"/>
      <c r="I60" s="88"/>
      <c r="J60" s="89"/>
      <c r="K60" s="74" t="str">
        <f>IFERROR((tblPersoneel[[#This Row],[Pagá Salario Nov 2023]]/tblPersoneel[[#This Row],[uitbetalings deel]])/ tblPersoneel[[#This Row],[Oranan pa siman]],"")</f>
        <v/>
      </c>
      <c r="L6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0" s="85"/>
      <c r="N60" s="86"/>
      <c r="O60" s="87"/>
      <c r="P60" s="75">
        <f>IF(tblPersoneel[[#This Row],[Nòmber di funshon]]="",,IF(tblPersoneel[[#This Row],[Pagá Salario Nov 2023]]&gt;$D$9,tblPersoneel[[#This Row],[Pagá Salario Nov 2023]],$D$9))</f>
        <v>0</v>
      </c>
      <c r="Q60" s="61" t="str">
        <f>IFERROR((tblPersoneel[[#This Row],[Pagá Salario  2026]]/tblPersoneel[[#This Row],[uitbetalings deel]])/ tblPersoneel[[#This Row],[Oranan pa siman]],"")</f>
        <v/>
      </c>
      <c r="R6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0" s="62">
        <f>_xlfn.XLOOKUP(tblPersoneel[[#This Row],[Edat]],tblLeeftijdPercentage[Edat],tblLeeftijdPercentage[Persentage],0,0)</f>
        <v>0</v>
      </c>
      <c r="T60" s="62" t="e">
        <f>VLOOKUP(tblPersoneel[[#This Row],[Periodo di pago]],UitbetaalPeriode[],2,FALSE)</f>
        <v>#N/A</v>
      </c>
      <c r="U60" s="62" t="e">
        <f>VLOOKUP(tblPersoneel[[#This Row],[Periodo di pago]],UitbetaalPeriode[],3,FALSE)</f>
        <v>#N/A</v>
      </c>
    </row>
    <row r="61" spans="1:21" x14ac:dyDescent="0.25">
      <c r="A61" s="56"/>
      <c r="B61" s="56"/>
      <c r="C61" s="56"/>
      <c r="D61" s="84"/>
      <c r="E61" s="85"/>
      <c r="F61" s="85"/>
      <c r="G61" s="86"/>
      <c r="H61" s="87"/>
      <c r="I61" s="88"/>
      <c r="J61" s="89"/>
      <c r="K61" s="74" t="str">
        <f>IFERROR((tblPersoneel[[#This Row],[Pagá Salario Nov 2023]]/tblPersoneel[[#This Row],[uitbetalings deel]])/ tblPersoneel[[#This Row],[Oranan pa siman]],"")</f>
        <v/>
      </c>
      <c r="L6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1" s="85"/>
      <c r="N61" s="86"/>
      <c r="O61" s="87"/>
      <c r="P61" s="75">
        <f>IF(tblPersoneel[[#This Row],[Nòmber di funshon]]="",,IF(tblPersoneel[[#This Row],[Pagá Salario Nov 2023]]&gt;$D$9,tblPersoneel[[#This Row],[Pagá Salario Nov 2023]],$D$9))</f>
        <v>0</v>
      </c>
      <c r="Q61" s="61" t="str">
        <f>IFERROR((tblPersoneel[[#This Row],[Pagá Salario  2026]]/tblPersoneel[[#This Row],[uitbetalings deel]])/ tblPersoneel[[#This Row],[Oranan pa siman]],"")</f>
        <v/>
      </c>
      <c r="R6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1" s="62">
        <f>_xlfn.XLOOKUP(tblPersoneel[[#This Row],[Edat]],tblLeeftijdPercentage[Edat],tblLeeftijdPercentage[Persentage],0,0)</f>
        <v>0</v>
      </c>
      <c r="T61" s="62" t="e">
        <f>VLOOKUP(tblPersoneel[[#This Row],[Periodo di pago]],UitbetaalPeriode[],2,FALSE)</f>
        <v>#N/A</v>
      </c>
      <c r="U61" s="62" t="e">
        <f>VLOOKUP(tblPersoneel[[#This Row],[Periodo di pago]],UitbetaalPeriode[],3,FALSE)</f>
        <v>#N/A</v>
      </c>
    </row>
    <row r="62" spans="1:21" x14ac:dyDescent="0.25">
      <c r="A62" s="56"/>
      <c r="B62" s="56"/>
      <c r="C62" s="56"/>
      <c r="D62" s="84"/>
      <c r="E62" s="85"/>
      <c r="F62" s="85"/>
      <c r="G62" s="86"/>
      <c r="H62" s="87"/>
      <c r="I62" s="88"/>
      <c r="J62" s="89"/>
      <c r="K62" s="74" t="str">
        <f>IFERROR((tblPersoneel[[#This Row],[Pagá Salario Nov 2023]]/tblPersoneel[[#This Row],[uitbetalings deel]])/ tblPersoneel[[#This Row],[Oranan pa siman]],"")</f>
        <v/>
      </c>
      <c r="L6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2" s="85"/>
      <c r="N62" s="86"/>
      <c r="O62" s="87"/>
      <c r="P62" s="75">
        <f>IF(tblPersoneel[[#This Row],[Nòmber di funshon]]="",,IF(tblPersoneel[[#This Row],[Pagá Salario Nov 2023]]&gt;$D$9,tblPersoneel[[#This Row],[Pagá Salario Nov 2023]],$D$9))</f>
        <v>0</v>
      </c>
      <c r="Q62" s="61" t="str">
        <f>IFERROR((tblPersoneel[[#This Row],[Pagá Salario  2026]]/tblPersoneel[[#This Row],[uitbetalings deel]])/ tblPersoneel[[#This Row],[Oranan pa siman]],"")</f>
        <v/>
      </c>
      <c r="R6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2" s="62">
        <f>_xlfn.XLOOKUP(tblPersoneel[[#This Row],[Edat]],tblLeeftijdPercentage[Edat],tblLeeftijdPercentage[Persentage],0,0)</f>
        <v>0</v>
      </c>
      <c r="T62" s="62" t="e">
        <f>VLOOKUP(tblPersoneel[[#This Row],[Periodo di pago]],UitbetaalPeriode[],2,FALSE)</f>
        <v>#N/A</v>
      </c>
      <c r="U62" s="62" t="e">
        <f>VLOOKUP(tblPersoneel[[#This Row],[Periodo di pago]],UitbetaalPeriode[],3,FALSE)</f>
        <v>#N/A</v>
      </c>
    </row>
    <row r="63" spans="1:21" x14ac:dyDescent="0.25">
      <c r="A63" s="56"/>
      <c r="B63" s="56"/>
      <c r="C63" s="56"/>
      <c r="D63" s="84"/>
      <c r="E63" s="85"/>
      <c r="F63" s="85"/>
      <c r="G63" s="86"/>
      <c r="H63" s="87"/>
      <c r="I63" s="88"/>
      <c r="J63" s="89"/>
      <c r="K63" s="74" t="str">
        <f>IFERROR((tblPersoneel[[#This Row],[Pagá Salario Nov 2023]]/tblPersoneel[[#This Row],[uitbetalings deel]])/ tblPersoneel[[#This Row],[Oranan pa siman]],"")</f>
        <v/>
      </c>
      <c r="L6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3" s="85"/>
      <c r="N63" s="86"/>
      <c r="O63" s="87"/>
      <c r="P63" s="75">
        <f>IF(tblPersoneel[[#This Row],[Nòmber di funshon]]="",,IF(tblPersoneel[[#This Row],[Pagá Salario Nov 2023]]&gt;$D$9,tblPersoneel[[#This Row],[Pagá Salario Nov 2023]],$D$9))</f>
        <v>0</v>
      </c>
      <c r="Q63" s="61" t="str">
        <f>IFERROR((tblPersoneel[[#This Row],[Pagá Salario  2026]]/tblPersoneel[[#This Row],[uitbetalings deel]])/ tblPersoneel[[#This Row],[Oranan pa siman]],"")</f>
        <v/>
      </c>
      <c r="R6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3" s="62">
        <f>_xlfn.XLOOKUP(tblPersoneel[[#This Row],[Edat]],tblLeeftijdPercentage[Edat],tblLeeftijdPercentage[Persentage],0,0)</f>
        <v>0</v>
      </c>
      <c r="T63" s="62" t="e">
        <f>VLOOKUP(tblPersoneel[[#This Row],[Periodo di pago]],UitbetaalPeriode[],2,FALSE)</f>
        <v>#N/A</v>
      </c>
      <c r="U63" s="62" t="e">
        <f>VLOOKUP(tblPersoneel[[#This Row],[Periodo di pago]],UitbetaalPeriode[],3,FALSE)</f>
        <v>#N/A</v>
      </c>
    </row>
    <row r="64" spans="1:21" x14ac:dyDescent="0.25">
      <c r="A64" s="56"/>
      <c r="B64" s="56"/>
      <c r="C64" s="56"/>
      <c r="D64" s="84"/>
      <c r="E64" s="85"/>
      <c r="F64" s="85"/>
      <c r="G64" s="86"/>
      <c r="H64" s="87"/>
      <c r="I64" s="88"/>
      <c r="J64" s="89"/>
      <c r="K64" s="74" t="str">
        <f>IFERROR((tblPersoneel[[#This Row],[Pagá Salario Nov 2023]]/tblPersoneel[[#This Row],[uitbetalings deel]])/ tblPersoneel[[#This Row],[Oranan pa siman]],"")</f>
        <v/>
      </c>
      <c r="L6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4" s="85"/>
      <c r="N64" s="86"/>
      <c r="O64" s="87"/>
      <c r="P64" s="75">
        <f>IF(tblPersoneel[[#This Row],[Nòmber di funshon]]="",,IF(tblPersoneel[[#This Row],[Pagá Salario Nov 2023]]&gt;$D$9,tblPersoneel[[#This Row],[Pagá Salario Nov 2023]],$D$9))</f>
        <v>0</v>
      </c>
      <c r="Q64" s="61" t="str">
        <f>IFERROR((tblPersoneel[[#This Row],[Pagá Salario  2026]]/tblPersoneel[[#This Row],[uitbetalings deel]])/ tblPersoneel[[#This Row],[Oranan pa siman]],"")</f>
        <v/>
      </c>
      <c r="R6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4" s="62">
        <f>_xlfn.XLOOKUP(tblPersoneel[[#This Row],[Edat]],tblLeeftijdPercentage[Edat],tblLeeftijdPercentage[Persentage],0,0)</f>
        <v>0</v>
      </c>
      <c r="T64" s="62" t="e">
        <f>VLOOKUP(tblPersoneel[[#This Row],[Periodo di pago]],UitbetaalPeriode[],2,FALSE)</f>
        <v>#N/A</v>
      </c>
      <c r="U64" s="62" t="e">
        <f>VLOOKUP(tblPersoneel[[#This Row],[Periodo di pago]],UitbetaalPeriode[],3,FALSE)</f>
        <v>#N/A</v>
      </c>
    </row>
    <row r="65" spans="1:21" x14ac:dyDescent="0.25">
      <c r="A65" s="56"/>
      <c r="B65" s="56"/>
      <c r="C65" s="56"/>
      <c r="D65" s="84"/>
      <c r="E65" s="85"/>
      <c r="F65" s="85"/>
      <c r="G65" s="86"/>
      <c r="H65" s="87"/>
      <c r="I65" s="88"/>
      <c r="J65" s="89"/>
      <c r="K65" s="74" t="str">
        <f>IFERROR((tblPersoneel[[#This Row],[Pagá Salario Nov 2023]]/tblPersoneel[[#This Row],[uitbetalings deel]])/ tblPersoneel[[#This Row],[Oranan pa siman]],"")</f>
        <v/>
      </c>
      <c r="L6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5" s="85"/>
      <c r="N65" s="86"/>
      <c r="O65" s="87"/>
      <c r="P65" s="75">
        <f>IF(tblPersoneel[[#This Row],[Nòmber di funshon]]="",,IF(tblPersoneel[[#This Row],[Pagá Salario Nov 2023]]&gt;$D$9,tblPersoneel[[#This Row],[Pagá Salario Nov 2023]],$D$9))</f>
        <v>0</v>
      </c>
      <c r="Q65" s="61" t="str">
        <f>IFERROR((tblPersoneel[[#This Row],[Pagá Salario  2026]]/tblPersoneel[[#This Row],[uitbetalings deel]])/ tblPersoneel[[#This Row],[Oranan pa siman]],"")</f>
        <v/>
      </c>
      <c r="R6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5" s="62">
        <f>_xlfn.XLOOKUP(tblPersoneel[[#This Row],[Edat]],tblLeeftijdPercentage[Edat],tblLeeftijdPercentage[Persentage],0,0)</f>
        <v>0</v>
      </c>
      <c r="T65" s="62" t="e">
        <f>VLOOKUP(tblPersoneel[[#This Row],[Periodo di pago]],UitbetaalPeriode[],2,FALSE)</f>
        <v>#N/A</v>
      </c>
      <c r="U65" s="62" t="e">
        <f>VLOOKUP(tblPersoneel[[#This Row],[Periodo di pago]],UitbetaalPeriode[],3,FALSE)</f>
        <v>#N/A</v>
      </c>
    </row>
    <row r="66" spans="1:21" x14ac:dyDescent="0.25">
      <c r="A66" s="56"/>
      <c r="B66" s="56"/>
      <c r="C66" s="56"/>
      <c r="D66" s="84"/>
      <c r="E66" s="85"/>
      <c r="F66" s="85"/>
      <c r="G66" s="86"/>
      <c r="H66" s="87"/>
      <c r="I66" s="88"/>
      <c r="J66" s="89"/>
      <c r="K66" s="74" t="str">
        <f>IFERROR((tblPersoneel[[#This Row],[Pagá Salario Nov 2023]]/tblPersoneel[[#This Row],[uitbetalings deel]])/ tblPersoneel[[#This Row],[Oranan pa siman]],"")</f>
        <v/>
      </c>
      <c r="L6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6" s="85"/>
      <c r="N66" s="86"/>
      <c r="O66" s="87"/>
      <c r="P66" s="75">
        <f>IF(tblPersoneel[[#This Row],[Nòmber di funshon]]="",,IF(tblPersoneel[[#This Row],[Pagá Salario Nov 2023]]&gt;$D$9,tblPersoneel[[#This Row],[Pagá Salario Nov 2023]],$D$9))</f>
        <v>0</v>
      </c>
      <c r="Q66" s="61" t="str">
        <f>IFERROR((tblPersoneel[[#This Row],[Pagá Salario  2026]]/tblPersoneel[[#This Row],[uitbetalings deel]])/ tblPersoneel[[#This Row],[Oranan pa siman]],"")</f>
        <v/>
      </c>
      <c r="R6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6" s="62">
        <f>_xlfn.XLOOKUP(tblPersoneel[[#This Row],[Edat]],tblLeeftijdPercentage[Edat],tblLeeftijdPercentage[Persentage],0,0)</f>
        <v>0</v>
      </c>
      <c r="T66" s="62" t="e">
        <f>VLOOKUP(tblPersoneel[[#This Row],[Periodo di pago]],UitbetaalPeriode[],2,FALSE)</f>
        <v>#N/A</v>
      </c>
      <c r="U66" s="62" t="e">
        <f>VLOOKUP(tblPersoneel[[#This Row],[Periodo di pago]],UitbetaalPeriode[],3,FALSE)</f>
        <v>#N/A</v>
      </c>
    </row>
    <row r="67" spans="1:21" x14ac:dyDescent="0.25">
      <c r="A67" s="56"/>
      <c r="B67" s="56"/>
      <c r="C67" s="56"/>
      <c r="D67" s="84"/>
      <c r="E67" s="85"/>
      <c r="F67" s="85"/>
      <c r="G67" s="86"/>
      <c r="H67" s="87"/>
      <c r="I67" s="88"/>
      <c r="J67" s="89"/>
      <c r="K67" s="74" t="str">
        <f>IFERROR((tblPersoneel[[#This Row],[Pagá Salario Nov 2023]]/tblPersoneel[[#This Row],[uitbetalings deel]])/ tblPersoneel[[#This Row],[Oranan pa siman]],"")</f>
        <v/>
      </c>
      <c r="L6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7" s="85"/>
      <c r="N67" s="86"/>
      <c r="O67" s="87"/>
      <c r="P67" s="75">
        <f>IF(tblPersoneel[[#This Row],[Nòmber di funshon]]="",,IF(tblPersoneel[[#This Row],[Pagá Salario Nov 2023]]&gt;$D$9,tblPersoneel[[#This Row],[Pagá Salario Nov 2023]],$D$9))</f>
        <v>0</v>
      </c>
      <c r="Q67" s="61" t="str">
        <f>IFERROR((tblPersoneel[[#This Row],[Pagá Salario  2026]]/tblPersoneel[[#This Row],[uitbetalings deel]])/ tblPersoneel[[#This Row],[Oranan pa siman]],"")</f>
        <v/>
      </c>
      <c r="R6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7" s="62">
        <f>_xlfn.XLOOKUP(tblPersoneel[[#This Row],[Edat]],tblLeeftijdPercentage[Edat],tblLeeftijdPercentage[Persentage],0,0)</f>
        <v>0</v>
      </c>
      <c r="T67" s="62" t="e">
        <f>VLOOKUP(tblPersoneel[[#This Row],[Periodo di pago]],UitbetaalPeriode[],2,FALSE)</f>
        <v>#N/A</v>
      </c>
      <c r="U67" s="62" t="e">
        <f>VLOOKUP(tblPersoneel[[#This Row],[Periodo di pago]],UitbetaalPeriode[],3,FALSE)</f>
        <v>#N/A</v>
      </c>
    </row>
    <row r="68" spans="1:21" x14ac:dyDescent="0.25">
      <c r="A68" s="56"/>
      <c r="B68" s="56"/>
      <c r="C68" s="56"/>
      <c r="D68" s="84"/>
      <c r="E68" s="85"/>
      <c r="F68" s="85"/>
      <c r="G68" s="86"/>
      <c r="H68" s="87"/>
      <c r="I68" s="88"/>
      <c r="J68" s="89"/>
      <c r="K68" s="74" t="str">
        <f>IFERROR((tblPersoneel[[#This Row],[Pagá Salario Nov 2023]]/tblPersoneel[[#This Row],[uitbetalings deel]])/ tblPersoneel[[#This Row],[Oranan pa siman]],"")</f>
        <v/>
      </c>
      <c r="L6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8" s="85"/>
      <c r="N68" s="86"/>
      <c r="O68" s="87"/>
      <c r="P68" s="75">
        <f>IF(tblPersoneel[[#This Row],[Nòmber di funshon]]="",,IF(tblPersoneel[[#This Row],[Pagá Salario Nov 2023]]&gt;$D$9,tblPersoneel[[#This Row],[Pagá Salario Nov 2023]],$D$9))</f>
        <v>0</v>
      </c>
      <c r="Q68" s="61" t="str">
        <f>IFERROR((tblPersoneel[[#This Row],[Pagá Salario  2026]]/tblPersoneel[[#This Row],[uitbetalings deel]])/ tblPersoneel[[#This Row],[Oranan pa siman]],"")</f>
        <v/>
      </c>
      <c r="R6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8" s="62">
        <f>_xlfn.XLOOKUP(tblPersoneel[[#This Row],[Edat]],tblLeeftijdPercentage[Edat],tblLeeftijdPercentage[Persentage],0,0)</f>
        <v>0</v>
      </c>
      <c r="T68" s="62" t="e">
        <f>VLOOKUP(tblPersoneel[[#This Row],[Periodo di pago]],UitbetaalPeriode[],2,FALSE)</f>
        <v>#N/A</v>
      </c>
      <c r="U68" s="62" t="e">
        <f>VLOOKUP(tblPersoneel[[#This Row],[Periodo di pago]],UitbetaalPeriode[],3,FALSE)</f>
        <v>#N/A</v>
      </c>
    </row>
    <row r="69" spans="1:21" x14ac:dyDescent="0.25">
      <c r="A69" s="56"/>
      <c r="B69" s="56"/>
      <c r="C69" s="56"/>
      <c r="D69" s="84"/>
      <c r="E69" s="85"/>
      <c r="F69" s="85"/>
      <c r="G69" s="86"/>
      <c r="H69" s="87"/>
      <c r="I69" s="88"/>
      <c r="J69" s="89"/>
      <c r="K69" s="74" t="str">
        <f>IFERROR((tblPersoneel[[#This Row],[Pagá Salario Nov 2023]]/tblPersoneel[[#This Row],[uitbetalings deel]])/ tblPersoneel[[#This Row],[Oranan pa siman]],"")</f>
        <v/>
      </c>
      <c r="L6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69" s="85"/>
      <c r="N69" s="86"/>
      <c r="O69" s="87"/>
      <c r="P69" s="75">
        <f>IF(tblPersoneel[[#This Row],[Nòmber di funshon]]="",,IF(tblPersoneel[[#This Row],[Pagá Salario Nov 2023]]&gt;$D$9,tblPersoneel[[#This Row],[Pagá Salario Nov 2023]],$D$9))</f>
        <v>0</v>
      </c>
      <c r="Q69" s="61" t="str">
        <f>IFERROR((tblPersoneel[[#This Row],[Pagá Salario  2026]]/tblPersoneel[[#This Row],[uitbetalings deel]])/ tblPersoneel[[#This Row],[Oranan pa siman]],"")</f>
        <v/>
      </c>
      <c r="R6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69" s="62">
        <f>_xlfn.XLOOKUP(tblPersoneel[[#This Row],[Edat]],tblLeeftijdPercentage[Edat],tblLeeftijdPercentage[Persentage],0,0)</f>
        <v>0</v>
      </c>
      <c r="T69" s="62" t="e">
        <f>VLOOKUP(tblPersoneel[[#This Row],[Periodo di pago]],UitbetaalPeriode[],2,FALSE)</f>
        <v>#N/A</v>
      </c>
      <c r="U69" s="62" t="e">
        <f>VLOOKUP(tblPersoneel[[#This Row],[Periodo di pago]],UitbetaalPeriode[],3,FALSE)</f>
        <v>#N/A</v>
      </c>
    </row>
    <row r="70" spans="1:21" x14ac:dyDescent="0.25">
      <c r="A70" s="56"/>
      <c r="B70" s="56"/>
      <c r="C70" s="56"/>
      <c r="D70" s="84"/>
      <c r="E70" s="85"/>
      <c r="F70" s="85"/>
      <c r="G70" s="86"/>
      <c r="H70" s="87"/>
      <c r="I70" s="88"/>
      <c r="J70" s="89"/>
      <c r="K70" s="74" t="str">
        <f>IFERROR((tblPersoneel[[#This Row],[Pagá Salario Nov 2023]]/tblPersoneel[[#This Row],[uitbetalings deel]])/ tblPersoneel[[#This Row],[Oranan pa siman]],"")</f>
        <v/>
      </c>
      <c r="L7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0" s="85"/>
      <c r="N70" s="86"/>
      <c r="O70" s="87"/>
      <c r="P70" s="75">
        <f>IF(tblPersoneel[[#This Row],[Nòmber di funshon]]="",,IF(tblPersoneel[[#This Row],[Pagá Salario Nov 2023]]&gt;$D$9,tblPersoneel[[#This Row],[Pagá Salario Nov 2023]],$D$9))</f>
        <v>0</v>
      </c>
      <c r="Q70" s="61" t="str">
        <f>IFERROR((tblPersoneel[[#This Row],[Pagá Salario  2026]]/tblPersoneel[[#This Row],[uitbetalings deel]])/ tblPersoneel[[#This Row],[Oranan pa siman]],"")</f>
        <v/>
      </c>
      <c r="R7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0" s="62">
        <f>_xlfn.XLOOKUP(tblPersoneel[[#This Row],[Edat]],tblLeeftijdPercentage[Edat],tblLeeftijdPercentage[Persentage],0,0)</f>
        <v>0</v>
      </c>
      <c r="T70" s="62" t="e">
        <f>VLOOKUP(tblPersoneel[[#This Row],[Periodo di pago]],UitbetaalPeriode[],2,FALSE)</f>
        <v>#N/A</v>
      </c>
      <c r="U70" s="62" t="e">
        <f>VLOOKUP(tblPersoneel[[#This Row],[Periodo di pago]],UitbetaalPeriode[],3,FALSE)</f>
        <v>#N/A</v>
      </c>
    </row>
    <row r="71" spans="1:21" x14ac:dyDescent="0.25">
      <c r="A71" s="56"/>
      <c r="B71" s="56"/>
      <c r="C71" s="56"/>
      <c r="D71" s="84"/>
      <c r="E71" s="85"/>
      <c r="F71" s="85"/>
      <c r="G71" s="86"/>
      <c r="H71" s="87"/>
      <c r="I71" s="88"/>
      <c r="J71" s="89"/>
      <c r="K71" s="74" t="str">
        <f>IFERROR((tblPersoneel[[#This Row],[Pagá Salario Nov 2023]]/tblPersoneel[[#This Row],[uitbetalings deel]])/ tblPersoneel[[#This Row],[Oranan pa siman]],"")</f>
        <v/>
      </c>
      <c r="L7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1" s="85"/>
      <c r="N71" s="86"/>
      <c r="O71" s="87"/>
      <c r="P71" s="75">
        <f>IF(tblPersoneel[[#This Row],[Nòmber di funshon]]="",,IF(tblPersoneel[[#This Row],[Pagá Salario Nov 2023]]&gt;$D$9,tblPersoneel[[#This Row],[Pagá Salario Nov 2023]],$D$9))</f>
        <v>0</v>
      </c>
      <c r="Q71" s="61" t="str">
        <f>IFERROR((tblPersoneel[[#This Row],[Pagá Salario  2026]]/tblPersoneel[[#This Row],[uitbetalings deel]])/ tblPersoneel[[#This Row],[Oranan pa siman]],"")</f>
        <v/>
      </c>
      <c r="R7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1" s="62">
        <f>_xlfn.XLOOKUP(tblPersoneel[[#This Row],[Edat]],tblLeeftijdPercentage[Edat],tblLeeftijdPercentage[Persentage],0,0)</f>
        <v>0</v>
      </c>
      <c r="T71" s="62" t="e">
        <f>VLOOKUP(tblPersoneel[[#This Row],[Periodo di pago]],UitbetaalPeriode[],2,FALSE)</f>
        <v>#N/A</v>
      </c>
      <c r="U71" s="62" t="e">
        <f>VLOOKUP(tblPersoneel[[#This Row],[Periodo di pago]],UitbetaalPeriode[],3,FALSE)</f>
        <v>#N/A</v>
      </c>
    </row>
    <row r="72" spans="1:21" x14ac:dyDescent="0.25">
      <c r="A72" s="56"/>
      <c r="B72" s="56"/>
      <c r="C72" s="56"/>
      <c r="D72" s="84"/>
      <c r="E72" s="85"/>
      <c r="F72" s="85"/>
      <c r="G72" s="86"/>
      <c r="H72" s="87"/>
      <c r="I72" s="88"/>
      <c r="J72" s="89"/>
      <c r="K72" s="74" t="str">
        <f>IFERROR((tblPersoneel[[#This Row],[Pagá Salario Nov 2023]]/tblPersoneel[[#This Row],[uitbetalings deel]])/ tblPersoneel[[#This Row],[Oranan pa siman]],"")</f>
        <v/>
      </c>
      <c r="L72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2" s="85"/>
      <c r="N72" s="86"/>
      <c r="O72" s="87"/>
      <c r="P72" s="75">
        <f>IF(tblPersoneel[[#This Row],[Nòmber di funshon]]="",,IF(tblPersoneel[[#This Row],[Pagá Salario Nov 2023]]&gt;$D$9,tblPersoneel[[#This Row],[Pagá Salario Nov 2023]],$D$9))</f>
        <v>0</v>
      </c>
      <c r="Q72" s="61" t="str">
        <f>IFERROR((tblPersoneel[[#This Row],[Pagá Salario  2026]]/tblPersoneel[[#This Row],[uitbetalings deel]])/ tblPersoneel[[#This Row],[Oranan pa siman]],"")</f>
        <v/>
      </c>
      <c r="R72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2" s="62">
        <f>_xlfn.XLOOKUP(tblPersoneel[[#This Row],[Edat]],tblLeeftijdPercentage[Edat],tblLeeftijdPercentage[Persentage],0,0)</f>
        <v>0</v>
      </c>
      <c r="T72" s="62" t="e">
        <f>VLOOKUP(tblPersoneel[[#This Row],[Periodo di pago]],UitbetaalPeriode[],2,FALSE)</f>
        <v>#N/A</v>
      </c>
      <c r="U72" s="62" t="e">
        <f>VLOOKUP(tblPersoneel[[#This Row],[Periodo di pago]],UitbetaalPeriode[],3,FALSE)</f>
        <v>#N/A</v>
      </c>
    </row>
    <row r="73" spans="1:21" x14ac:dyDescent="0.25">
      <c r="A73" s="56"/>
      <c r="B73" s="56"/>
      <c r="C73" s="56"/>
      <c r="D73" s="84"/>
      <c r="E73" s="85"/>
      <c r="F73" s="85"/>
      <c r="G73" s="86"/>
      <c r="H73" s="87"/>
      <c r="I73" s="88"/>
      <c r="J73" s="89"/>
      <c r="K73" s="74" t="str">
        <f>IFERROR((tblPersoneel[[#This Row],[Pagá Salario Nov 2023]]/tblPersoneel[[#This Row],[uitbetalings deel]])/ tblPersoneel[[#This Row],[Oranan pa siman]],"")</f>
        <v/>
      </c>
      <c r="L73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3" s="85"/>
      <c r="N73" s="86"/>
      <c r="O73" s="87"/>
      <c r="P73" s="75">
        <f>IF(tblPersoneel[[#This Row],[Nòmber di funshon]]="",,IF(tblPersoneel[[#This Row],[Pagá Salario Nov 2023]]&gt;$D$9,tblPersoneel[[#This Row],[Pagá Salario Nov 2023]],$D$9))</f>
        <v>0</v>
      </c>
      <c r="Q73" s="61" t="str">
        <f>IFERROR((tblPersoneel[[#This Row],[Pagá Salario  2026]]/tblPersoneel[[#This Row],[uitbetalings deel]])/ tblPersoneel[[#This Row],[Oranan pa siman]],"")</f>
        <v/>
      </c>
      <c r="R73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3" s="62">
        <f>_xlfn.XLOOKUP(tblPersoneel[[#This Row],[Edat]],tblLeeftijdPercentage[Edat],tblLeeftijdPercentage[Persentage],0,0)</f>
        <v>0</v>
      </c>
      <c r="T73" s="62" t="e">
        <f>VLOOKUP(tblPersoneel[[#This Row],[Periodo di pago]],UitbetaalPeriode[],2,FALSE)</f>
        <v>#N/A</v>
      </c>
      <c r="U73" s="62" t="e">
        <f>VLOOKUP(tblPersoneel[[#This Row],[Periodo di pago]],UitbetaalPeriode[],3,FALSE)</f>
        <v>#N/A</v>
      </c>
    </row>
    <row r="74" spans="1:21" x14ac:dyDescent="0.25">
      <c r="A74" s="56"/>
      <c r="B74" s="56"/>
      <c r="C74" s="56"/>
      <c r="D74" s="84"/>
      <c r="E74" s="85"/>
      <c r="F74" s="85"/>
      <c r="G74" s="86"/>
      <c r="H74" s="87"/>
      <c r="I74" s="88"/>
      <c r="J74" s="89"/>
      <c r="K74" s="74" t="str">
        <f>IFERROR((tblPersoneel[[#This Row],[Pagá Salario Nov 2023]]/tblPersoneel[[#This Row],[uitbetalings deel]])/ tblPersoneel[[#This Row],[Oranan pa siman]],"")</f>
        <v/>
      </c>
      <c r="L74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4" s="85"/>
      <c r="N74" s="86"/>
      <c r="O74" s="87"/>
      <c r="P74" s="75">
        <f>IF(tblPersoneel[[#This Row],[Nòmber di funshon]]="",,IF(tblPersoneel[[#This Row],[Pagá Salario Nov 2023]]&gt;$D$9,tblPersoneel[[#This Row],[Pagá Salario Nov 2023]],$D$9))</f>
        <v>0</v>
      </c>
      <c r="Q74" s="61" t="str">
        <f>IFERROR((tblPersoneel[[#This Row],[Pagá Salario  2026]]/tblPersoneel[[#This Row],[uitbetalings deel]])/ tblPersoneel[[#This Row],[Oranan pa siman]],"")</f>
        <v/>
      </c>
      <c r="R74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4" s="62">
        <f>_xlfn.XLOOKUP(tblPersoneel[[#This Row],[Edat]],tblLeeftijdPercentage[Edat],tblLeeftijdPercentage[Persentage],0,0)</f>
        <v>0</v>
      </c>
      <c r="T74" s="62" t="e">
        <f>VLOOKUP(tblPersoneel[[#This Row],[Periodo di pago]],UitbetaalPeriode[],2,FALSE)</f>
        <v>#N/A</v>
      </c>
      <c r="U74" s="62" t="e">
        <f>VLOOKUP(tblPersoneel[[#This Row],[Periodo di pago]],UitbetaalPeriode[],3,FALSE)</f>
        <v>#N/A</v>
      </c>
    </row>
    <row r="75" spans="1:21" x14ac:dyDescent="0.25">
      <c r="A75" s="56"/>
      <c r="B75" s="56"/>
      <c r="C75" s="56"/>
      <c r="D75" s="84"/>
      <c r="E75" s="85"/>
      <c r="F75" s="85"/>
      <c r="G75" s="86"/>
      <c r="H75" s="87"/>
      <c r="I75" s="88"/>
      <c r="J75" s="89"/>
      <c r="K75" s="74" t="str">
        <f>IFERROR((tblPersoneel[[#This Row],[Pagá Salario Nov 2023]]/tblPersoneel[[#This Row],[uitbetalings deel]])/ tblPersoneel[[#This Row],[Oranan pa siman]],"")</f>
        <v/>
      </c>
      <c r="L75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5" s="85"/>
      <c r="N75" s="86"/>
      <c r="O75" s="87"/>
      <c r="P75" s="75">
        <f>IF(tblPersoneel[[#This Row],[Nòmber di funshon]]="",,IF(tblPersoneel[[#This Row],[Pagá Salario Nov 2023]]&gt;$D$9,tblPersoneel[[#This Row],[Pagá Salario Nov 2023]],$D$9))</f>
        <v>0</v>
      </c>
      <c r="Q75" s="61" t="str">
        <f>IFERROR((tblPersoneel[[#This Row],[Pagá Salario  2026]]/tblPersoneel[[#This Row],[uitbetalings deel]])/ tblPersoneel[[#This Row],[Oranan pa siman]],"")</f>
        <v/>
      </c>
      <c r="R75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5" s="62">
        <f>_xlfn.XLOOKUP(tblPersoneel[[#This Row],[Edat]],tblLeeftijdPercentage[Edat],tblLeeftijdPercentage[Persentage],0,0)</f>
        <v>0</v>
      </c>
      <c r="T75" s="62" t="e">
        <f>VLOOKUP(tblPersoneel[[#This Row],[Periodo di pago]],UitbetaalPeriode[],2,FALSE)</f>
        <v>#N/A</v>
      </c>
      <c r="U75" s="62" t="e">
        <f>VLOOKUP(tblPersoneel[[#This Row],[Periodo di pago]],UitbetaalPeriode[],3,FALSE)</f>
        <v>#N/A</v>
      </c>
    </row>
    <row r="76" spans="1:21" x14ac:dyDescent="0.25">
      <c r="A76" s="56"/>
      <c r="B76" s="56"/>
      <c r="C76" s="56"/>
      <c r="D76" s="84"/>
      <c r="E76" s="85"/>
      <c r="F76" s="85"/>
      <c r="G76" s="86"/>
      <c r="H76" s="87"/>
      <c r="I76" s="88"/>
      <c r="J76" s="89"/>
      <c r="K76" s="74" t="str">
        <f>IFERROR((tblPersoneel[[#This Row],[Pagá Salario Nov 2023]]/tblPersoneel[[#This Row],[uitbetalings deel]])/ tblPersoneel[[#This Row],[Oranan pa siman]],"")</f>
        <v/>
      </c>
      <c r="L76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6" s="85"/>
      <c r="N76" s="86"/>
      <c r="O76" s="87"/>
      <c r="P76" s="75">
        <f>IF(tblPersoneel[[#This Row],[Nòmber di funshon]]="",,IF(tblPersoneel[[#This Row],[Pagá Salario Nov 2023]]&gt;$D$9,tblPersoneel[[#This Row],[Pagá Salario Nov 2023]],$D$9))</f>
        <v>0</v>
      </c>
      <c r="Q76" s="61" t="str">
        <f>IFERROR((tblPersoneel[[#This Row],[Pagá Salario  2026]]/tblPersoneel[[#This Row],[uitbetalings deel]])/ tblPersoneel[[#This Row],[Oranan pa siman]],"")</f>
        <v/>
      </c>
      <c r="R76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6" s="62">
        <f>_xlfn.XLOOKUP(tblPersoneel[[#This Row],[Edat]],tblLeeftijdPercentage[Edat],tblLeeftijdPercentage[Persentage],0,0)</f>
        <v>0</v>
      </c>
      <c r="T76" s="62" t="e">
        <f>VLOOKUP(tblPersoneel[[#This Row],[Periodo di pago]],UitbetaalPeriode[],2,FALSE)</f>
        <v>#N/A</v>
      </c>
      <c r="U76" s="62" t="e">
        <f>VLOOKUP(tblPersoneel[[#This Row],[Periodo di pago]],UitbetaalPeriode[],3,FALSE)</f>
        <v>#N/A</v>
      </c>
    </row>
    <row r="77" spans="1:21" x14ac:dyDescent="0.25">
      <c r="A77" s="56"/>
      <c r="B77" s="56"/>
      <c r="C77" s="56"/>
      <c r="D77" s="84"/>
      <c r="E77" s="85"/>
      <c r="F77" s="85"/>
      <c r="G77" s="86"/>
      <c r="H77" s="87"/>
      <c r="I77" s="88"/>
      <c r="J77" s="89"/>
      <c r="K77" s="74" t="str">
        <f>IFERROR((tblPersoneel[[#This Row],[Pagá Salario Nov 2023]]/tblPersoneel[[#This Row],[uitbetalings deel]])/ tblPersoneel[[#This Row],[Oranan pa siman]],"")</f>
        <v/>
      </c>
      <c r="L77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7" s="85"/>
      <c r="N77" s="86"/>
      <c r="O77" s="87"/>
      <c r="P77" s="75">
        <f>IF(tblPersoneel[[#This Row],[Nòmber di funshon]]="",,IF(tblPersoneel[[#This Row],[Pagá Salario Nov 2023]]&gt;$D$9,tblPersoneel[[#This Row],[Pagá Salario Nov 2023]],$D$9))</f>
        <v>0</v>
      </c>
      <c r="Q77" s="61" t="str">
        <f>IFERROR((tblPersoneel[[#This Row],[Pagá Salario  2026]]/tblPersoneel[[#This Row],[uitbetalings deel]])/ tblPersoneel[[#This Row],[Oranan pa siman]],"")</f>
        <v/>
      </c>
      <c r="R77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7" s="62">
        <f>_xlfn.XLOOKUP(tblPersoneel[[#This Row],[Edat]],tblLeeftijdPercentage[Edat],tblLeeftijdPercentage[Persentage],0,0)</f>
        <v>0</v>
      </c>
      <c r="T77" s="62" t="e">
        <f>VLOOKUP(tblPersoneel[[#This Row],[Periodo di pago]],UitbetaalPeriode[],2,FALSE)</f>
        <v>#N/A</v>
      </c>
      <c r="U77" s="62" t="e">
        <f>VLOOKUP(tblPersoneel[[#This Row],[Periodo di pago]],UitbetaalPeriode[],3,FALSE)</f>
        <v>#N/A</v>
      </c>
    </row>
    <row r="78" spans="1:21" x14ac:dyDescent="0.25">
      <c r="A78" s="56"/>
      <c r="B78" s="56"/>
      <c r="C78" s="56"/>
      <c r="D78" s="84"/>
      <c r="E78" s="85"/>
      <c r="F78" s="85"/>
      <c r="G78" s="86"/>
      <c r="H78" s="87"/>
      <c r="I78" s="88"/>
      <c r="J78" s="89"/>
      <c r="K78" s="74" t="str">
        <f>IFERROR((tblPersoneel[[#This Row],[Pagá Salario Nov 2023]]/tblPersoneel[[#This Row],[uitbetalings deel]])/ tblPersoneel[[#This Row],[Oranan pa siman]],"")</f>
        <v/>
      </c>
      <c r="L78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8" s="85"/>
      <c r="N78" s="86"/>
      <c r="O78" s="87"/>
      <c r="P78" s="75">
        <f>IF(tblPersoneel[[#This Row],[Nòmber di funshon]]="",,IF(tblPersoneel[[#This Row],[Pagá Salario Nov 2023]]&gt;$D$9,tblPersoneel[[#This Row],[Pagá Salario Nov 2023]],$D$9))</f>
        <v>0</v>
      </c>
      <c r="Q78" s="61" t="str">
        <f>IFERROR((tblPersoneel[[#This Row],[Pagá Salario  2026]]/tblPersoneel[[#This Row],[uitbetalings deel]])/ tblPersoneel[[#This Row],[Oranan pa siman]],"")</f>
        <v/>
      </c>
      <c r="R78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8" s="62">
        <f>_xlfn.XLOOKUP(tblPersoneel[[#This Row],[Edat]],tblLeeftijdPercentage[Edat],tblLeeftijdPercentage[Persentage],0,0)</f>
        <v>0</v>
      </c>
      <c r="T78" s="62" t="e">
        <f>VLOOKUP(tblPersoneel[[#This Row],[Periodo di pago]],UitbetaalPeriode[],2,FALSE)</f>
        <v>#N/A</v>
      </c>
      <c r="U78" s="62" t="e">
        <f>VLOOKUP(tblPersoneel[[#This Row],[Periodo di pago]],UitbetaalPeriode[],3,FALSE)</f>
        <v>#N/A</v>
      </c>
    </row>
    <row r="79" spans="1:21" x14ac:dyDescent="0.25">
      <c r="A79" s="56"/>
      <c r="B79" s="56"/>
      <c r="C79" s="56"/>
      <c r="D79" s="84"/>
      <c r="E79" s="85"/>
      <c r="F79" s="85"/>
      <c r="G79" s="86"/>
      <c r="H79" s="87"/>
      <c r="I79" s="88"/>
      <c r="J79" s="89"/>
      <c r="K79" s="74" t="str">
        <f>IFERROR((tblPersoneel[[#This Row],[Pagá Salario Nov 2023]]/tblPersoneel[[#This Row],[uitbetalings deel]])/ tblPersoneel[[#This Row],[Oranan pa siman]],"")</f>
        <v/>
      </c>
      <c r="L79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79" s="85"/>
      <c r="N79" s="86"/>
      <c r="O79" s="87"/>
      <c r="P79" s="75">
        <f>IF(tblPersoneel[[#This Row],[Nòmber di funshon]]="",,IF(tblPersoneel[[#This Row],[Pagá Salario Nov 2023]]&gt;$D$9,tblPersoneel[[#This Row],[Pagá Salario Nov 2023]],$D$9))</f>
        <v>0</v>
      </c>
      <c r="Q79" s="61" t="str">
        <f>IFERROR((tblPersoneel[[#This Row],[Pagá Salario  2026]]/tblPersoneel[[#This Row],[uitbetalings deel]])/ tblPersoneel[[#This Row],[Oranan pa siman]],"")</f>
        <v/>
      </c>
      <c r="R79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79" s="62">
        <f>_xlfn.XLOOKUP(tblPersoneel[[#This Row],[Edat]],tblLeeftijdPercentage[Edat],tblLeeftijdPercentage[Persentage],0,0)</f>
        <v>0</v>
      </c>
      <c r="T79" s="62" t="e">
        <f>VLOOKUP(tblPersoneel[[#This Row],[Periodo di pago]],UitbetaalPeriode[],2,FALSE)</f>
        <v>#N/A</v>
      </c>
      <c r="U79" s="62" t="e">
        <f>VLOOKUP(tblPersoneel[[#This Row],[Periodo di pago]],UitbetaalPeriode[],3,FALSE)</f>
        <v>#N/A</v>
      </c>
    </row>
    <row r="80" spans="1:21" x14ac:dyDescent="0.25">
      <c r="A80" s="56"/>
      <c r="B80" s="56"/>
      <c r="C80" s="56"/>
      <c r="D80" s="84"/>
      <c r="E80" s="85"/>
      <c r="F80" s="85"/>
      <c r="G80" s="86"/>
      <c r="H80" s="87"/>
      <c r="I80" s="88"/>
      <c r="J80" s="89"/>
      <c r="K80" s="74" t="str">
        <f>IFERROR((tblPersoneel[[#This Row],[Pagá Salario Nov 2023]]/tblPersoneel[[#This Row],[uitbetalings deel]])/ tblPersoneel[[#This Row],[Oranan pa siman]],"")</f>
        <v/>
      </c>
      <c r="L80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80" s="85"/>
      <c r="N80" s="86"/>
      <c r="O80" s="87"/>
      <c r="P80" s="75">
        <f>IF(tblPersoneel[[#This Row],[Nòmber di funshon]]="",,IF(tblPersoneel[[#This Row],[Pagá Salario Nov 2023]]&gt;$D$9,tblPersoneel[[#This Row],[Pagá Salario Nov 2023]],$D$9))</f>
        <v>0</v>
      </c>
      <c r="Q80" s="61" t="str">
        <f>IFERROR((tblPersoneel[[#This Row],[Pagá Salario  2026]]/tblPersoneel[[#This Row],[uitbetalings deel]])/ tblPersoneel[[#This Row],[Oranan pa siman]],"")</f>
        <v/>
      </c>
      <c r="R80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80" s="62">
        <f>_xlfn.XLOOKUP(tblPersoneel[[#This Row],[Edat]],tblLeeftijdPercentage[Edat],tblLeeftijdPercentage[Persentage],0,0)</f>
        <v>0</v>
      </c>
      <c r="T80" s="62" t="e">
        <f>VLOOKUP(tblPersoneel[[#This Row],[Periodo di pago]],UitbetaalPeriode[],2,FALSE)</f>
        <v>#N/A</v>
      </c>
      <c r="U80" s="62" t="e">
        <f>VLOOKUP(tblPersoneel[[#This Row],[Periodo di pago]],UitbetaalPeriode[],3,FALSE)</f>
        <v>#N/A</v>
      </c>
    </row>
    <row r="81" spans="1:21" x14ac:dyDescent="0.25">
      <c r="A81" s="56"/>
      <c r="B81" s="56"/>
      <c r="C81" s="56"/>
      <c r="D81" s="84"/>
      <c r="E81" s="85"/>
      <c r="F81" s="85"/>
      <c r="G81" s="86"/>
      <c r="H81" s="87"/>
      <c r="I81" s="88"/>
      <c r="J81" s="89"/>
      <c r="K81" s="74" t="str">
        <f>IFERROR((tblPersoneel[[#This Row],[Pagá Salario Nov 2023]]/tblPersoneel[[#This Row],[uitbetalings deel]])/ tblPersoneel[[#This Row],[Oranan pa siman]],"")</f>
        <v/>
      </c>
      <c r="L81" s="74">
        <f>_xlfn.IFNA(IF(tblPersoneel[[#This Row],[Periodo di pago]]="Uurloon",(1 + IF(tblPersoneel[[#This Row],[di 13 luna 2023]]="Ja",DertiendeMaand,0) + tblPersoneel[[#This Row],[Fakansi %  2023]])*tblPersoneel[[#This Row],[Oranan pa siman]]*tblPersoneel[[#This Row],[Ora di pago kalkulá 11-23 ( $7.13)]]*4.3333 + tblPersoneel[[#This Row],[Gratifikashon  2023]],tblPersoneel[[#This Row],[aantal uitbetalingen]]*tblPersoneel[[#This Row],[Pagá Salario Nov 2023]]+IF(tblPersoneel[[#This Row],[di 13 luna 2023]]="Ja",DertiendeMaand*tblPersoneel[[#This Row],[aantal uitbetalingen]]*tblPersoneel[[#This Row],[Pagá Salario Nov 2023]],0)+tblPersoneel[[#This Row],[aantal uitbetalingen]]*tblPersoneel[[#This Row],[Pagá Salario Nov 2023]]*tblPersoneel[[#This Row],[Fakansi %  2023]]+tblPersoneel[[#This Row],[Gratifikashon  2023]]),0)</f>
        <v>0</v>
      </c>
      <c r="M81" s="85"/>
      <c r="N81" s="86"/>
      <c r="O81" s="87"/>
      <c r="P81" s="75">
        <f>IF(tblPersoneel[[#This Row],[Nòmber di funshon]]="",,IF(tblPersoneel[[#This Row],[Pagá Salario Nov 2023]]&gt;$D$9,tblPersoneel[[#This Row],[Pagá Salario Nov 2023]],$D$9))</f>
        <v>0</v>
      </c>
      <c r="Q81" s="61" t="str">
        <f>IFERROR((tblPersoneel[[#This Row],[Pagá Salario  2026]]/tblPersoneel[[#This Row],[uitbetalings deel]])/ tblPersoneel[[#This Row],[Oranan pa siman]],"")</f>
        <v/>
      </c>
      <c r="R81" s="61">
        <f>_xlfn.IFNA(IF(tblPersoneel[[#This Row],[Periodo di pago]]="Uurloon",(1 + IF(tblPersoneel[[#This Row],[di 13 luna 2026]]="Ja",DertiendeMaand,0) + tblPersoneel[[#This Row],[Fakansi % 2026]])*tblPersoneel[[#This Row],[Oranan pa siman]]*(tblPersoneel[[#This Row],[Ora di pago kalkulá 01-26]])*4.3333 + tblPersoneel[[#This Row],[Gratifikashon 2026]],tblPersoneel[[#This Row],[aantal uitbetalingen]]*tblPersoneel[[#This Row],[Pagá Salario  2026]] +IF(tblPersoneel[[#This Row],[di 13 luna 2026]]="Ja",DertiendeMaand*tblPersoneel[[#This Row],[aantal uitbetalingen]]*tblPersoneel[[#This Row],[Pagá Salario  2026]],0)+tblPersoneel[[#This Row],[aantal uitbetalingen]]*tblPersoneel[[#This Row],[Pagá Salario  2026]]*tblPersoneel[[#This Row],[Fakansi % 2026]]+tblPersoneel[[#This Row],[Gratifikashon 2026]]),0)</f>
        <v>0</v>
      </c>
      <c r="S81" s="62">
        <f>_xlfn.XLOOKUP(tblPersoneel[[#This Row],[Edat]],tblLeeftijdPercentage[Edat],tblLeeftijdPercentage[Persentage],0,0)</f>
        <v>0</v>
      </c>
      <c r="T81" s="62" t="e">
        <f>VLOOKUP(tblPersoneel[[#This Row],[Periodo di pago]],UitbetaalPeriode[],2,FALSE)</f>
        <v>#N/A</v>
      </c>
      <c r="U81" s="62" t="e">
        <f>VLOOKUP(tblPersoneel[[#This Row],[Periodo di pago]],UitbetaalPeriode[],3,FALSE)</f>
        <v>#N/A</v>
      </c>
    </row>
    <row r="82" spans="1:21" x14ac:dyDescent="0.25">
      <c r="A82" s="26" t="s">
        <v>28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9">
        <f>SUBTOTAL(109,tblPersoneel[Salario Annual 2023])</f>
        <v>0</v>
      </c>
      <c r="M82" s="29"/>
      <c r="N82" s="29"/>
      <c r="O82" s="29"/>
      <c r="P82" s="26"/>
      <c r="Q82" s="26"/>
      <c r="R82" s="29">
        <f>SUBTOTAL(109,tblPersoneel[Salario Annual  2026])</f>
        <v>0</v>
      </c>
      <c r="S82" s="26"/>
      <c r="T82" s="26"/>
      <c r="U82" s="26">
        <f>SUBTOTAL(103,tblPersoneel[aantal uitbetalingen])</f>
        <v>63</v>
      </c>
    </row>
    <row r="104" ht="81.599999999999994" customHeight="1" x14ac:dyDescent="0.25"/>
    <row r="300" spans="16367:16376" x14ac:dyDescent="0.25">
      <c r="XEM300" s="26" t="s">
        <v>19</v>
      </c>
      <c r="XEN300" s="27">
        <v>0.13400000000000001</v>
      </c>
      <c r="XEO300" s="26"/>
      <c r="XEP300" s="26"/>
      <c r="XEQ300" s="26"/>
      <c r="XER300" s="26"/>
      <c r="XES300" s="26"/>
      <c r="XET300" s="26"/>
    </row>
    <row r="301" spans="16367:16376" x14ac:dyDescent="0.25">
      <c r="XEM301" s="26" t="s">
        <v>20</v>
      </c>
      <c r="XEN301" s="27">
        <v>0.11899999999999999</v>
      </c>
      <c r="XEP301" s="26"/>
      <c r="XEQ301" s="26" t="s">
        <v>16</v>
      </c>
      <c r="XER301" s="26" t="s">
        <v>17</v>
      </c>
      <c r="XES301" s="26" t="s">
        <v>24</v>
      </c>
      <c r="XET301" s="26"/>
      <c r="XEV301" t="s">
        <v>32</v>
      </c>
    </row>
    <row r="302" spans="16367:16376" x14ac:dyDescent="0.25">
      <c r="XEM302" s="26" t="s">
        <v>90</v>
      </c>
      <c r="XEN302" s="27">
        <v>0.10299999999999999</v>
      </c>
      <c r="XEP302" s="26"/>
      <c r="XEQ302" s="26" t="s">
        <v>13</v>
      </c>
      <c r="XER302" s="26">
        <v>4.3333333300000003</v>
      </c>
      <c r="XES302" s="26">
        <v>12</v>
      </c>
      <c r="XET302" s="26"/>
      <c r="XEV302" s="67" t="s">
        <v>49</v>
      </c>
    </row>
    <row r="303" spans="16367:16376" x14ac:dyDescent="0.25">
      <c r="XEM303" s="26" t="s">
        <v>99</v>
      </c>
      <c r="XEN303" s="127">
        <v>0.10299999999999999</v>
      </c>
      <c r="XEP303" s="26"/>
      <c r="XEQ303" s="26" t="s">
        <v>12</v>
      </c>
      <c r="XER303" s="26">
        <f>+XER304/2</f>
        <v>0.5</v>
      </c>
      <c r="XES303" s="26">
        <v>24</v>
      </c>
      <c r="XET303" s="26"/>
      <c r="XEV303" s="67" t="s">
        <v>55</v>
      </c>
    </row>
    <row r="304" spans="16367:16376" x14ac:dyDescent="0.25">
      <c r="XEM304" s="26" t="s">
        <v>21</v>
      </c>
      <c r="XEN304" s="26">
        <v>8.3330000000000001E-2</v>
      </c>
      <c r="XEP304" s="26"/>
      <c r="XEQ304" s="26" t="s">
        <v>18</v>
      </c>
      <c r="XER304" s="26">
        <v>1</v>
      </c>
      <c r="XES304" s="26" t="s">
        <v>25</v>
      </c>
      <c r="XET304" s="26"/>
      <c r="XEV304" t="s">
        <v>48</v>
      </c>
    </row>
    <row r="305" spans="16367:16376" x14ac:dyDescent="0.25">
      <c r="XEM305" s="26" t="s">
        <v>29</v>
      </c>
      <c r="XEN305" s="2">
        <v>7.13</v>
      </c>
      <c r="XEP305" s="26"/>
      <c r="XEQ305" s="26"/>
      <c r="XER305" s="26">
        <v>8</v>
      </c>
      <c r="XES305" s="26">
        <v>365</v>
      </c>
      <c r="XET305" s="26"/>
      <c r="XEV305" t="s">
        <v>33</v>
      </c>
    </row>
    <row r="306" spans="16367:16376" x14ac:dyDescent="0.25">
      <c r="XEM306" s="26" t="s">
        <v>30</v>
      </c>
      <c r="XEN306" s="2">
        <v>9.06</v>
      </c>
      <c r="XEP306" s="26"/>
      <c r="XEQ306" s="26"/>
      <c r="XER306" s="26"/>
      <c r="XES306" s="26"/>
      <c r="XET306" s="26"/>
      <c r="XEV306" t="s">
        <v>44</v>
      </c>
    </row>
    <row r="307" spans="16367:16376" x14ac:dyDescent="0.25">
      <c r="XEM307" s="26" t="s">
        <v>31</v>
      </c>
      <c r="XEN307" s="2">
        <v>10.1</v>
      </c>
      <c r="XEP307" s="26"/>
      <c r="XEQ307" s="26"/>
      <c r="XER307" s="26"/>
      <c r="XES307" s="26"/>
      <c r="XET307" s="26"/>
      <c r="XEV307" t="s">
        <v>43</v>
      </c>
    </row>
    <row r="308" spans="16367:16376" x14ac:dyDescent="0.25">
      <c r="XEM308" s="26" t="s">
        <v>89</v>
      </c>
      <c r="XEN308" s="2">
        <v>10.35</v>
      </c>
      <c r="XEP308" s="26"/>
      <c r="XEQ308" s="26"/>
      <c r="XER308" s="26"/>
      <c r="XES308" s="26"/>
      <c r="XET308" s="26"/>
      <c r="XEV308" t="s">
        <v>39</v>
      </c>
    </row>
    <row r="309" spans="16367:16376" x14ac:dyDescent="0.25">
      <c r="XEM309" s="26" t="s">
        <v>98</v>
      </c>
      <c r="XEN309" s="2">
        <v>10.69</v>
      </c>
      <c r="XEP309" s="26"/>
      <c r="XEQ309" s="26"/>
      <c r="XER309" s="26"/>
      <c r="XES309" s="26"/>
      <c r="XET309" s="26"/>
      <c r="XEV309" t="s">
        <v>42</v>
      </c>
    </row>
    <row r="310" spans="16367:16376" x14ac:dyDescent="0.25">
      <c r="XEM310" s="26"/>
      <c r="XEP310" s="26"/>
      <c r="XEQ310" s="26"/>
      <c r="XER310" s="26"/>
      <c r="XES310" s="26"/>
      <c r="XET310" s="26"/>
      <c r="XEV310" s="67" t="s">
        <v>51</v>
      </c>
    </row>
    <row r="311" spans="16367:16376" x14ac:dyDescent="0.25">
      <c r="XEM311" s="26"/>
      <c r="XEP311" s="26"/>
      <c r="XEQ311" s="26"/>
      <c r="XER311" s="26"/>
      <c r="XES311" s="26"/>
      <c r="XET311" s="26"/>
      <c r="XEV311" s="67" t="s">
        <v>50</v>
      </c>
    </row>
    <row r="312" spans="16367:16376" x14ac:dyDescent="0.25">
      <c r="XEM312" s="26"/>
      <c r="XEP312" s="26"/>
      <c r="XEQ312" s="26"/>
      <c r="XER312" s="26"/>
      <c r="XES312" s="26"/>
      <c r="XET312" s="26"/>
      <c r="XEV312" s="67" t="s">
        <v>52</v>
      </c>
    </row>
    <row r="313" spans="16367:16376" x14ac:dyDescent="0.25">
      <c r="XEM313" s="26"/>
      <c r="XEP313" s="26"/>
      <c r="XEQ313" s="26"/>
      <c r="XER313" s="26"/>
      <c r="XES313" s="26"/>
      <c r="XET313" s="26"/>
      <c r="XEV313" t="s">
        <v>46</v>
      </c>
    </row>
    <row r="314" spans="16367:16376" x14ac:dyDescent="0.25">
      <c r="XEM314" s="26"/>
      <c r="XEP314" s="26"/>
      <c r="XEQ314" s="26"/>
      <c r="XER314" s="26"/>
      <c r="XES314" s="26"/>
      <c r="XET314" s="26"/>
      <c r="XEV314" t="s">
        <v>47</v>
      </c>
    </row>
    <row r="315" spans="16367:16376" x14ac:dyDescent="0.25">
      <c r="XEM315" s="26"/>
      <c r="XEP315" s="26"/>
      <c r="XEQ315" s="26"/>
      <c r="XER315" s="26"/>
      <c r="XES315" s="26"/>
      <c r="XET315" s="26"/>
      <c r="XEV315" t="s">
        <v>45</v>
      </c>
    </row>
    <row r="316" spans="16367:16376" x14ac:dyDescent="0.25">
      <c r="XEM316" s="26"/>
      <c r="XEP316" s="26"/>
      <c r="XEQ316" s="26"/>
      <c r="XER316" s="26"/>
      <c r="XES316" s="26"/>
      <c r="XET316" s="26"/>
      <c r="XEV316" s="67" t="s">
        <v>53</v>
      </c>
    </row>
    <row r="317" spans="16367:16376" x14ac:dyDescent="0.25">
      <c r="XEM317" s="26"/>
      <c r="XEN317" s="26"/>
      <c r="XEO317" s="26"/>
      <c r="XEP317" s="26"/>
      <c r="XEQ317" s="26"/>
      <c r="XER317" s="26"/>
      <c r="XES317" s="26"/>
      <c r="XET317" s="26"/>
      <c r="XEU317" s="26"/>
      <c r="XEV317" t="s">
        <v>36</v>
      </c>
    </row>
    <row r="318" spans="16367:16376" x14ac:dyDescent="0.25">
      <c r="XEM318" s="26"/>
      <c r="XEN318" s="26"/>
      <c r="XEO318" s="26"/>
      <c r="XEP318" s="26"/>
      <c r="XEQ318" s="26"/>
      <c r="XER318" s="26"/>
      <c r="XES318" s="26"/>
      <c r="XET318" s="26"/>
      <c r="XEU318" s="26"/>
      <c r="XEV318" t="s">
        <v>41</v>
      </c>
    </row>
    <row r="319" spans="16367:16376" x14ac:dyDescent="0.25">
      <c r="XEM319" s="26"/>
      <c r="XEN319" s="26"/>
      <c r="XEO319" s="26"/>
      <c r="XEP319" s="26"/>
      <c r="XEQ319" s="26"/>
      <c r="XER319" s="26"/>
      <c r="XES319" s="26"/>
      <c r="XET319" s="26"/>
      <c r="XEU319" s="26"/>
      <c r="XEV319" t="s">
        <v>35</v>
      </c>
    </row>
    <row r="320" spans="16367:16376" x14ac:dyDescent="0.25">
      <c r="XEM320" s="26"/>
      <c r="XEN320" s="26"/>
      <c r="XEO320" s="26"/>
      <c r="XEP320" s="26"/>
      <c r="XEQ320" s="26"/>
      <c r="XER320" s="26"/>
      <c r="XES320" s="26"/>
      <c r="XET320" s="26"/>
      <c r="XEU320" s="26"/>
      <c r="XEV320" t="s">
        <v>38</v>
      </c>
    </row>
    <row r="321" spans="16368:16376" x14ac:dyDescent="0.25">
      <c r="XEN321" s="26"/>
      <c r="XEO321" s="26"/>
      <c r="XEP321" s="26"/>
      <c r="XEQ321" s="26"/>
      <c r="XER321" s="26"/>
      <c r="XES321" s="26"/>
      <c r="XET321" s="26"/>
      <c r="XEU321" s="26"/>
      <c r="XEV321" t="s">
        <v>34</v>
      </c>
    </row>
    <row r="322" spans="16368:16376" x14ac:dyDescent="0.25">
      <c r="XEN322" s="26"/>
      <c r="XEO322" s="26"/>
      <c r="XEP322" s="26"/>
      <c r="XEQ322" s="26"/>
      <c r="XER322" s="26"/>
      <c r="XES322" s="26"/>
      <c r="XET322" s="26"/>
      <c r="XEU322" s="26"/>
      <c r="XEV322" t="s">
        <v>40</v>
      </c>
    </row>
    <row r="323" spans="16368:16376" x14ac:dyDescent="0.25">
      <c r="XEN323" s="26"/>
      <c r="XEO323" s="26"/>
      <c r="XEP323" s="26"/>
      <c r="XEQ323" s="26"/>
      <c r="XER323" s="26"/>
      <c r="XES323" s="26"/>
      <c r="XET323" s="26"/>
      <c r="XEU323" s="26"/>
      <c r="XEV323" t="s">
        <v>37</v>
      </c>
    </row>
    <row r="324" spans="16368:16376" x14ac:dyDescent="0.25">
      <c r="XEN324" s="26"/>
      <c r="XEO324" s="26"/>
      <c r="XEP324" s="26"/>
      <c r="XEQ324" s="26"/>
      <c r="XER324" s="26"/>
      <c r="XES324" s="26"/>
      <c r="XET324" s="26"/>
      <c r="XEU324" s="26"/>
      <c r="XEV324" s="67" t="s">
        <v>54</v>
      </c>
    </row>
  </sheetData>
  <sheetProtection algorithmName="SHA-512" hashValue="6qgtNsc8xfCJ5/0lqrLvSqWPfKMFZ8igRkW+jqu+RiOVR+9QmcUcMVlPY9eXs7WYXVyGA6ff9MrXm8dC65NJuw==" saltValue="62ZsmqKo0eM2OUrgGuDnMA==" spinCount="100000" sheet="1" insertRows="0" selectLockedCells="1"/>
  <mergeCells count="7">
    <mergeCell ref="A2:T2"/>
    <mergeCell ref="A3:T3"/>
    <mergeCell ref="G10:O10"/>
    <mergeCell ref="G11:O12"/>
    <mergeCell ref="G13:O14"/>
    <mergeCell ref="A7:T7"/>
    <mergeCell ref="A6:F6"/>
  </mergeCells>
  <phoneticPr fontId="2" type="noConversion"/>
  <conditionalFormatting sqref="K19:K82">
    <cfRule type="cellIs" dxfId="22" priority="4" operator="lessThan">
      <formula>minimum2023</formula>
    </cfRule>
  </conditionalFormatting>
  <conditionalFormatting sqref="Q19:Q82">
    <cfRule type="cellIs" dxfId="21" priority="3" operator="lessThanOrEqual">
      <formula>minimum202401</formula>
    </cfRule>
  </conditionalFormatting>
  <dataValidations xWindow="91" yWindow="927" count="10">
    <dataValidation type="list" allowBlank="1" showInputMessage="1" showErrorMessage="1" promptTitle="Maak keuze..." sqref="M19:M81 F19:F81" xr:uid="{4C721DCB-81C6-4091-99F6-6C28CEB3F7B9}">
      <formula1>"Ja,nee"</formula1>
    </dataValidation>
    <dataValidation allowBlank="1" showInputMessage="1" showErrorMessage="1" promptTitle="Naam invoeren..." prompt="Vul de naam van de werknemer in" sqref="A47:A49" xr:uid="{55ACA3B5-7042-47F7-ADBE-5BB9F823049B}"/>
    <dataValidation allowBlank="1" showInputMessage="1" showErrorMessage="1" promptTitle="Nòmber di e funshon...." prompt="Inskribí e nòmber di e funshon...." sqref="B19:B81" xr:uid="{9D14D5F9-BC32-4128-BEA9-860017FAF9E8}"/>
    <dataValidation type="list" allowBlank="1" showInputMessage="1" showErrorMessage="1" promptTitle="Periodo di pago" prompt="Klek riba e periodo di pago ku bo ta deseá" sqref="C19:C81" xr:uid="{7E7C6C84-B3E8-4FC3-8A6F-ED786B692540}">
      <formula1>UitbetaalPer</formula1>
    </dataValidation>
    <dataValidation type="list" allowBlank="1" showInputMessage="1" showErrorMessage="1" promptTitle="Eligí" prompt="Eligí e parti di tempu ku bo ke" sqref="D19:D81" xr:uid="{EC160151-AFB6-4980-85AE-F818DBEF3631}">
      <formula1>"1,.9,.8,.7,.6,.5,.4,.3,.2,.1"</formula1>
    </dataValidation>
    <dataValidation type="list" allowBlank="1" showInputMessage="1" showErrorMessage="1" promptTitle="Eligí" prompt="Eligí e edat adekuá" sqref="E19:E81" xr:uid="{151A7E92-B67F-4F34-AC5B-3293519899DF}">
      <formula1>leeftijd</formula1>
    </dataValidation>
    <dataValidation allowBlank="1" showInputMessage="1" showErrorMessage="1" promptTitle="Enserá un kantidat" prompt="Enserá un kantidat" sqref="N19:N81 G19:G81" xr:uid="{7E65A769-6565-4FDD-B85F-50DF88D8E09D}"/>
    <dataValidation allowBlank="1" showInputMessage="1" showErrorMessage="1" promptTitle="Enserá un porshento" prompt="Enserá un porshento" sqref="O19:O81 H19:H81" xr:uid="{8DAC39D4-18C4-4B75-8324-BA894AABB21E}"/>
    <dataValidation allowBlank="1" showInputMessage="1" showErrorMessage="1" promptTitle="Enserá" prompt="Enserá e kantidat di oranan ku ta traha pa siman" sqref="I19:I81" xr:uid="{4C0DDA1A-A5EA-4B46-B740-A91186C586A8}"/>
    <dataValidation allowBlank="1" showInputMessage="1" showErrorMessage="1" promptTitle="Eligí" prompt="Eligí e kantidat ku a wòrdu pagá pa e periodo di pago skohé." sqref="P19:P81 J19:J81" xr:uid="{6EF7E931-59A8-403D-9E17-F35A4DA3A187}"/>
  </dataValidations>
  <pageMargins left="0.7" right="0.7" top="0.75" bottom="0.75" header="0.3" footer="0.3"/>
  <pageSetup paperSize="9" scale="56" orientation="portrait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469BB-105B-4701-BCE2-58671B21A9D9}">
  <dimension ref="A1:AB54"/>
  <sheetViews>
    <sheetView zoomScale="85" zoomScaleNormal="85" workbookViewId="0">
      <selection activeCell="G20" sqref="G20"/>
    </sheetView>
  </sheetViews>
  <sheetFormatPr defaultRowHeight="15" x14ac:dyDescent="0.25"/>
  <cols>
    <col min="2" max="2" width="25.85546875" bestFit="1" customWidth="1"/>
    <col min="3" max="3" width="8.5703125" customWidth="1"/>
    <col min="4" max="5" width="25.85546875" customWidth="1"/>
    <col min="6" max="7" width="23.42578125" customWidth="1"/>
    <col min="8" max="8" width="17.5703125" customWidth="1"/>
    <col min="9" max="9" width="21.85546875" customWidth="1"/>
    <col min="10" max="10" width="23.7109375" customWidth="1"/>
    <col min="11" max="11" width="12.5703125" customWidth="1"/>
    <col min="12" max="12" width="8.7109375" customWidth="1"/>
    <col min="13" max="13" width="23.7109375" customWidth="1"/>
    <col min="14" max="14" width="22.28515625" bestFit="1" customWidth="1"/>
    <col min="15" max="15" width="76.85546875" customWidth="1"/>
    <col min="16" max="16" width="16.5703125" customWidth="1"/>
    <col min="17" max="17" width="12.42578125" customWidth="1"/>
  </cols>
  <sheetData>
    <row r="1" spans="1:21" ht="15.75" thickBot="1" x14ac:dyDescent="0.3"/>
    <row r="2" spans="1:21" ht="26.25" x14ac:dyDescent="0.25">
      <c r="A2" s="128"/>
      <c r="B2" s="129"/>
      <c r="C2" s="129"/>
      <c r="D2" s="129"/>
      <c r="E2" s="129"/>
      <c r="F2" s="129"/>
      <c r="G2" s="129"/>
      <c r="H2" s="129"/>
      <c r="I2" s="111"/>
      <c r="J2" s="112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1" ht="26.25" x14ac:dyDescent="0.25">
      <c r="A3" s="131" t="s">
        <v>60</v>
      </c>
      <c r="B3" s="132"/>
      <c r="C3" s="132"/>
      <c r="D3" s="132"/>
      <c r="E3" s="132"/>
      <c r="F3" s="132"/>
      <c r="G3" s="132"/>
      <c r="H3" s="132"/>
      <c r="I3" s="124"/>
      <c r="J3" s="113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</row>
    <row r="4" spans="1:21" ht="15" customHeight="1" x14ac:dyDescent="0.25">
      <c r="A4" s="144"/>
      <c r="B4" s="145"/>
      <c r="C4" s="145"/>
      <c r="D4" s="145"/>
      <c r="E4" s="145"/>
      <c r="F4" s="145"/>
      <c r="G4" s="145"/>
      <c r="H4" s="145"/>
      <c r="I4" s="35"/>
      <c r="J4" s="64"/>
    </row>
    <row r="5" spans="1:21" ht="15" customHeight="1" x14ac:dyDescent="0.25">
      <c r="A5" s="146" t="s">
        <v>58</v>
      </c>
      <c r="B5" s="147"/>
      <c r="C5" s="147"/>
      <c r="D5" s="147"/>
      <c r="E5" s="147"/>
      <c r="F5" s="147"/>
      <c r="G5" s="147"/>
      <c r="H5" s="147"/>
      <c r="I5" s="35"/>
      <c r="J5" s="64"/>
    </row>
    <row r="6" spans="1:21" ht="27" customHeight="1" x14ac:dyDescent="0.25">
      <c r="A6" s="138" t="s">
        <v>71</v>
      </c>
      <c r="B6" s="139"/>
      <c r="C6" s="139"/>
      <c r="D6" s="139"/>
      <c r="E6" s="139"/>
      <c r="F6" s="139"/>
      <c r="G6" s="139"/>
      <c r="H6" s="139"/>
      <c r="I6" s="35"/>
      <c r="J6" s="64"/>
    </row>
    <row r="7" spans="1:21" ht="15.75" customHeight="1" thickBot="1" x14ac:dyDescent="0.3">
      <c r="A7" s="135"/>
      <c r="B7" s="136"/>
      <c r="C7" s="136"/>
      <c r="D7" s="136"/>
      <c r="E7" s="136"/>
      <c r="F7" s="136"/>
      <c r="G7" s="136"/>
      <c r="H7" s="136"/>
      <c r="I7" s="114"/>
      <c r="J7" s="115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</row>
    <row r="8" spans="1:21" ht="15.75" thickBot="1" x14ac:dyDescent="0.3"/>
    <row r="9" spans="1:21" ht="21" x14ac:dyDescent="0.35">
      <c r="B9" s="76"/>
      <c r="C9" s="77"/>
      <c r="D9" s="77"/>
      <c r="E9" s="77"/>
      <c r="F9" s="78">
        <v>2023</v>
      </c>
      <c r="G9" s="78">
        <v>2026</v>
      </c>
      <c r="H9" s="78"/>
      <c r="I9" s="117" t="s">
        <v>103</v>
      </c>
      <c r="J9" s="118"/>
    </row>
    <row r="10" spans="1:21" ht="21" x14ac:dyDescent="0.25">
      <c r="B10" s="119" t="s">
        <v>72</v>
      </c>
      <c r="C10" s="79"/>
      <c r="D10" s="79"/>
      <c r="E10" s="79"/>
      <c r="F10" s="103">
        <f>IF($C$23="Ja",tblPersoneel[[#Totals],[Salario Annual 2023]],0)</f>
        <v>0</v>
      </c>
      <c r="G10" s="103">
        <f>IF($C$23="Ja",tblPersoneel[[#Totals],[Salario Annual  2026]],0)</f>
        <v>0</v>
      </c>
      <c r="H10" s="103"/>
      <c r="I10" s="103">
        <f t="shared" ref="I10:I12" si="0">+G10-F10</f>
        <v>0</v>
      </c>
      <c r="J10" s="120"/>
    </row>
    <row r="11" spans="1:21" ht="21" x14ac:dyDescent="0.25">
      <c r="B11" s="119" t="s">
        <v>0</v>
      </c>
      <c r="C11" s="96"/>
      <c r="D11" s="79"/>
      <c r="E11" s="79"/>
      <c r="F11" s="125">
        <f>F10*WGP_2023</f>
        <v>0</v>
      </c>
      <c r="G11" s="125">
        <f>G10*WGP_2026</f>
        <v>0</v>
      </c>
      <c r="H11" s="125"/>
      <c r="I11" s="125">
        <f t="shared" si="0"/>
        <v>0</v>
      </c>
      <c r="J11" s="126"/>
    </row>
    <row r="12" spans="1:21" ht="21" x14ac:dyDescent="0.25">
      <c r="B12" s="95" t="s">
        <v>28</v>
      </c>
      <c r="C12" s="96"/>
      <c r="D12" s="79"/>
      <c r="E12" s="79"/>
      <c r="F12" s="103">
        <f>SUM(F10:F11)</f>
        <v>0</v>
      </c>
      <c r="G12" s="103">
        <f>SUM(G10:G11)</f>
        <v>0</v>
      </c>
      <c r="H12" s="103"/>
      <c r="I12" s="103">
        <f t="shared" si="0"/>
        <v>0</v>
      </c>
      <c r="J12" s="120"/>
    </row>
    <row r="13" spans="1:21" ht="21" x14ac:dyDescent="0.35">
      <c r="B13" s="101" t="s">
        <v>102</v>
      </c>
      <c r="C13" s="102"/>
      <c r="D13" s="103"/>
      <c r="E13" s="103"/>
      <c r="F13" s="103">
        <v>0</v>
      </c>
      <c r="G13" s="103">
        <f>G10 *(WGP_2023 - WGP_2026)</f>
        <v>0</v>
      </c>
      <c r="H13" s="103"/>
      <c r="I13" s="116"/>
      <c r="J13" s="121"/>
    </row>
    <row r="14" spans="1:21" ht="21.75" thickBot="1" x14ac:dyDescent="0.4">
      <c r="B14" s="97"/>
      <c r="C14" s="98"/>
      <c r="D14" s="99"/>
      <c r="E14" s="99"/>
      <c r="F14" s="99"/>
      <c r="G14" s="100"/>
      <c r="H14" s="99"/>
      <c r="I14" s="122"/>
      <c r="J14" s="123"/>
    </row>
    <row r="18" spans="2:16" ht="15.75" thickBot="1" x14ac:dyDescent="0.3"/>
    <row r="19" spans="2:16" x14ac:dyDescent="0.25">
      <c r="B19" s="37" t="s">
        <v>73</v>
      </c>
      <c r="C19" s="48"/>
      <c r="D19" s="38">
        <v>2021</v>
      </c>
      <c r="E19" s="38">
        <v>2022</v>
      </c>
      <c r="F19" s="38">
        <v>2023</v>
      </c>
      <c r="G19" s="38">
        <v>2026</v>
      </c>
      <c r="H19" s="108"/>
      <c r="O19" s="24"/>
      <c r="P19" s="24"/>
    </row>
    <row r="20" spans="2:16" x14ac:dyDescent="0.25">
      <c r="B20" s="39" t="s">
        <v>74</v>
      </c>
      <c r="C20" s="49"/>
      <c r="D20" s="42"/>
      <c r="E20" s="42"/>
      <c r="F20" s="42"/>
      <c r="G20" s="47"/>
      <c r="H20" s="104"/>
      <c r="I20" s="1"/>
      <c r="J20" s="25"/>
      <c r="K20" s="25"/>
      <c r="L20" s="25"/>
      <c r="M20" s="25"/>
      <c r="N20" s="25"/>
      <c r="O20" s="25"/>
      <c r="P20" s="5"/>
    </row>
    <row r="21" spans="2:16" x14ac:dyDescent="0.25">
      <c r="B21" s="41"/>
      <c r="C21" s="50"/>
      <c r="D21" s="42"/>
      <c r="E21" s="42"/>
      <c r="F21" s="42"/>
      <c r="G21" s="47"/>
      <c r="H21" s="104"/>
      <c r="I21" s="1"/>
      <c r="J21" s="25"/>
      <c r="K21" s="25"/>
      <c r="L21" s="25"/>
      <c r="M21" s="25"/>
      <c r="N21" s="25"/>
      <c r="O21" s="25"/>
      <c r="P21" s="5"/>
    </row>
    <row r="22" spans="2:16" ht="15.75" thickBot="1" x14ac:dyDescent="0.3">
      <c r="B22" s="39" t="s">
        <v>75</v>
      </c>
      <c r="C22" s="52"/>
      <c r="D22" s="42"/>
      <c r="E22" s="42"/>
      <c r="F22" s="42"/>
      <c r="G22" s="47"/>
      <c r="H22" s="104"/>
    </row>
    <row r="23" spans="2:16" ht="15.75" thickBot="1" x14ac:dyDescent="0.3">
      <c r="B23" s="57" t="s">
        <v>76</v>
      </c>
      <c r="C23" s="60" t="s">
        <v>22</v>
      </c>
      <c r="D23" s="58"/>
      <c r="E23" s="47"/>
      <c r="F23" s="40">
        <f>IF($C$23="Ja",tblPersoneel[[#Totals],[Salario Annual 2023]],0)</f>
        <v>0</v>
      </c>
      <c r="G23" s="40">
        <f>IF($C$23="Ja",tblPersoneel[[#Totals],[Salario Annual  2026]],0)</f>
        <v>0</v>
      </c>
      <c r="H23" s="105"/>
    </row>
    <row r="24" spans="2:16" x14ac:dyDescent="0.25">
      <c r="B24" s="41" t="s">
        <v>0</v>
      </c>
      <c r="C24" s="59"/>
      <c r="D24" s="47"/>
      <c r="E24" s="47"/>
      <c r="F24" s="40">
        <f>F23*WGP_2023</f>
        <v>0</v>
      </c>
      <c r="G24" s="40">
        <f>G23*WGP_2024</f>
        <v>0</v>
      </c>
      <c r="H24" s="105"/>
    </row>
    <row r="25" spans="2:16" x14ac:dyDescent="0.25">
      <c r="B25" s="41" t="s">
        <v>86</v>
      </c>
      <c r="C25" s="50"/>
      <c r="D25" s="47"/>
      <c r="E25" s="47"/>
      <c r="F25" s="42"/>
      <c r="G25" s="47"/>
      <c r="H25" s="104"/>
    </row>
    <row r="26" spans="2:16" x14ac:dyDescent="0.25">
      <c r="B26" s="41" t="s">
        <v>27</v>
      </c>
      <c r="C26" s="50"/>
      <c r="D26" s="47"/>
      <c r="E26" s="47"/>
      <c r="F26" s="47"/>
      <c r="G26" s="47"/>
      <c r="H26" s="104"/>
    </row>
    <row r="27" spans="2:16" x14ac:dyDescent="0.25">
      <c r="B27" s="41" t="s">
        <v>27</v>
      </c>
      <c r="C27" s="50"/>
      <c r="D27" s="47"/>
      <c r="E27" s="47"/>
      <c r="F27" s="47"/>
      <c r="G27" s="47"/>
      <c r="H27" s="104"/>
    </row>
    <row r="28" spans="2:16" x14ac:dyDescent="0.25">
      <c r="B28" s="41" t="s">
        <v>27</v>
      </c>
      <c r="C28" s="50"/>
      <c r="D28" s="47"/>
      <c r="E28" s="47"/>
      <c r="F28" s="47"/>
      <c r="G28" s="47"/>
      <c r="H28" s="104"/>
    </row>
    <row r="29" spans="2:16" x14ac:dyDescent="0.25">
      <c r="B29" s="73" t="s">
        <v>77</v>
      </c>
      <c r="C29" s="49"/>
      <c r="D29" s="40">
        <f>SUM(DirekteKosten2021)</f>
        <v>0</v>
      </c>
      <c r="E29" s="40">
        <f>SUM(DirekteKosten2022)</f>
        <v>0</v>
      </c>
      <c r="F29" s="40">
        <f>SUM(DirekteKosten2023)</f>
        <v>0</v>
      </c>
      <c r="G29" s="40">
        <f>SUM(DirekteKosten2024)</f>
        <v>0</v>
      </c>
      <c r="H29" s="105"/>
    </row>
    <row r="30" spans="2:16" x14ac:dyDescent="0.25">
      <c r="B30" s="41"/>
      <c r="C30" s="50"/>
      <c r="D30" s="42"/>
      <c r="E30" s="42"/>
      <c r="F30" s="42"/>
      <c r="G30" s="47"/>
      <c r="H30" s="104"/>
    </row>
    <row r="31" spans="2:16" x14ac:dyDescent="0.25">
      <c r="B31" s="73" t="s">
        <v>78</v>
      </c>
      <c r="C31" s="49"/>
      <c r="D31" s="40">
        <f>Omzet2021-TotaaDirekteKosten2021</f>
        <v>0</v>
      </c>
      <c r="E31" s="40">
        <f>Omzet2022-TotaalDirekteKosten2022</f>
        <v>0</v>
      </c>
      <c r="F31" s="40">
        <f>Omzet2023-TotaalDirekteKodten2023</f>
        <v>0</v>
      </c>
      <c r="G31" s="40">
        <f>Omzet2024-TotaalDirekteKosten2024</f>
        <v>0</v>
      </c>
      <c r="H31" s="105"/>
    </row>
    <row r="32" spans="2:16" x14ac:dyDescent="0.25">
      <c r="B32" s="41"/>
      <c r="C32" s="50"/>
      <c r="D32" s="42"/>
      <c r="E32" s="42"/>
      <c r="F32" s="42"/>
      <c r="G32" s="47"/>
      <c r="H32" s="104"/>
    </row>
    <row r="33" spans="2:28" x14ac:dyDescent="0.25">
      <c r="B33" s="39" t="s">
        <v>79</v>
      </c>
      <c r="C33" s="49"/>
      <c r="D33" s="43">
        <f>IFERROR(BrutoWinst2021/Omzet2021,0)</f>
        <v>0</v>
      </c>
      <c r="E33" s="43">
        <f>IFERROR(BrutoWinst2022/Omzet2022,0)</f>
        <v>0</v>
      </c>
      <c r="F33" s="43">
        <f>IFERROR(BrutoWinst2023/Omzet2023,0)</f>
        <v>0</v>
      </c>
      <c r="G33" s="43">
        <f>IFERROR(BrutoWinst2024/Omzet2024,0)</f>
        <v>0</v>
      </c>
      <c r="H33" s="106"/>
    </row>
    <row r="34" spans="2:28" ht="15.75" thickBot="1" x14ac:dyDescent="0.3">
      <c r="B34" s="41"/>
      <c r="C34" s="50"/>
      <c r="D34" s="42"/>
      <c r="E34" s="42"/>
      <c r="F34" s="42"/>
      <c r="G34" s="47"/>
      <c r="H34" s="104"/>
    </row>
    <row r="35" spans="2:28" ht="22.5" thickTop="1" thickBot="1" x14ac:dyDescent="0.4">
      <c r="B35" s="39" t="s">
        <v>80</v>
      </c>
      <c r="C35" s="49"/>
      <c r="D35" s="42"/>
      <c r="E35" s="42"/>
      <c r="F35" s="42"/>
      <c r="G35" s="47"/>
      <c r="H35" s="104"/>
      <c r="V35" s="6" t="s">
        <v>6</v>
      </c>
      <c r="W35" s="7"/>
      <c r="X35" s="8"/>
      <c r="Y35" s="8"/>
      <c r="Z35" s="9">
        <v>2023</v>
      </c>
      <c r="AA35" s="10">
        <v>2024</v>
      </c>
      <c r="AB35" s="11" t="s">
        <v>5</v>
      </c>
    </row>
    <row r="36" spans="2:28" ht="21.75" thickTop="1" x14ac:dyDescent="0.35">
      <c r="B36" s="41" t="s">
        <v>76</v>
      </c>
      <c r="C36" s="49"/>
      <c r="D36" s="47"/>
      <c r="E36" s="47"/>
      <c r="F36" s="40">
        <f>IF($C$23="Nee",tblPersoneel[[#Totals],[Salario Annual 2023]],0)</f>
        <v>0</v>
      </c>
      <c r="G36" s="40">
        <f>IF($C$23="Nee",tblPersoneel[[#Totals],[Salario Annual  2026]],0)</f>
        <v>0</v>
      </c>
      <c r="H36" s="105"/>
      <c r="V36" s="12" t="s">
        <v>7</v>
      </c>
      <c r="W36" s="13"/>
      <c r="X36" s="13"/>
      <c r="Y36" s="13"/>
      <c r="Z36" s="22">
        <f>+tblPersoneel[[#Totals],[Pagá Salario Nov 2023]]*12</f>
        <v>0</v>
      </c>
      <c r="AA36" s="15" t="e">
        <f>+#REF!</f>
        <v>#REF!</v>
      </c>
      <c r="AB36" s="22" t="e">
        <f>+AA36-Z36</f>
        <v>#REF!</v>
      </c>
    </row>
    <row r="37" spans="2:28" ht="21" x14ac:dyDescent="0.35">
      <c r="B37" s="41" t="s">
        <v>0</v>
      </c>
      <c r="C37" s="50"/>
      <c r="D37" s="47"/>
      <c r="E37" s="47"/>
      <c r="F37" s="40">
        <f>F36*WGP_2023</f>
        <v>0</v>
      </c>
      <c r="G37" s="40">
        <f>G36*WGP_2024</f>
        <v>0</v>
      </c>
      <c r="H37" s="105"/>
      <c r="V37" s="16" t="s">
        <v>10</v>
      </c>
      <c r="W37" s="15"/>
      <c r="X37" s="17"/>
      <c r="Y37" s="17"/>
      <c r="Z37" s="14" cm="1">
        <f t="array" ref="Z37">+Z36*WGP_2023</f>
        <v>0</v>
      </c>
      <c r="AA37" s="15"/>
      <c r="AB37" s="14"/>
    </row>
    <row r="38" spans="2:28" ht="21" x14ac:dyDescent="0.35">
      <c r="B38" s="41" t="s">
        <v>86</v>
      </c>
      <c r="C38" s="50"/>
      <c r="D38" s="47"/>
      <c r="E38" s="47"/>
      <c r="F38" s="42"/>
      <c r="G38" s="47"/>
      <c r="H38" s="104"/>
      <c r="V38" s="16"/>
      <c r="W38" s="15"/>
      <c r="X38" s="17"/>
      <c r="Y38" s="17"/>
      <c r="Z38" s="14"/>
      <c r="AA38" s="15"/>
      <c r="AB38" s="14"/>
    </row>
    <row r="39" spans="2:28" ht="21.75" thickBot="1" x14ac:dyDescent="0.4">
      <c r="B39" s="41" t="s">
        <v>81</v>
      </c>
      <c r="C39" s="50"/>
      <c r="D39" s="47"/>
      <c r="E39" s="47"/>
      <c r="F39" s="47"/>
      <c r="G39" s="47"/>
      <c r="H39" s="104"/>
      <c r="V39" s="16" t="s">
        <v>11</v>
      </c>
      <c r="W39" s="15"/>
      <c r="X39" s="17"/>
      <c r="Y39" s="17"/>
      <c r="Z39" s="14"/>
      <c r="AA39" s="15" t="e" cm="1">
        <f t="array" ref="AA39">AA36*WGP_2024</f>
        <v>#REF!</v>
      </c>
      <c r="AB39" s="14"/>
    </row>
    <row r="40" spans="2:28" ht="21.75" thickTop="1" x14ac:dyDescent="0.35">
      <c r="B40" s="41" t="s">
        <v>26</v>
      </c>
      <c r="C40" s="50"/>
      <c r="D40" s="47"/>
      <c r="E40" s="47"/>
      <c r="F40" s="47"/>
      <c r="G40" s="47"/>
      <c r="H40" s="104"/>
      <c r="J40" s="109"/>
      <c r="V40" s="16" t="s">
        <v>8</v>
      </c>
      <c r="W40" s="15"/>
      <c r="X40" s="17"/>
      <c r="Y40" s="17"/>
      <c r="Z40" s="22">
        <f>SUM(Z36:Z37)</f>
        <v>0</v>
      </c>
      <c r="AA40" s="23" t="e">
        <f>SUM(AA36:AA39)</f>
        <v>#REF!</v>
      </c>
      <c r="AB40" s="14" t="e">
        <f>+AA40-Z40</f>
        <v>#REF!</v>
      </c>
    </row>
    <row r="41" spans="2:28" ht="21" x14ac:dyDescent="0.35">
      <c r="B41" s="41" t="s">
        <v>83</v>
      </c>
      <c r="C41" s="50"/>
      <c r="D41" s="47"/>
      <c r="E41" s="47"/>
      <c r="F41" s="47"/>
      <c r="G41" s="47"/>
      <c r="H41" s="104"/>
      <c r="V41" s="16"/>
      <c r="W41" s="15"/>
      <c r="X41" s="17"/>
      <c r="Y41" s="17"/>
      <c r="Z41" s="14"/>
      <c r="AA41" s="15"/>
      <c r="AB41" s="14"/>
    </row>
    <row r="42" spans="2:28" ht="21" x14ac:dyDescent="0.35">
      <c r="B42" s="41" t="s">
        <v>82</v>
      </c>
      <c r="C42" s="50"/>
      <c r="D42" s="47"/>
      <c r="E42" s="47"/>
      <c r="F42" s="47"/>
      <c r="G42" s="47"/>
      <c r="H42" s="104"/>
      <c r="V42" s="16" t="s">
        <v>9</v>
      </c>
      <c r="W42" s="15"/>
      <c r="X42" s="17"/>
      <c r="Y42" s="17"/>
      <c r="Z42" s="14" t="e" cm="1">
        <f t="array" ref="Z42">AA36*(WGP_2023-WGP_2024)</f>
        <v>#REF!</v>
      </c>
      <c r="AA42" s="15"/>
      <c r="AB42" s="14"/>
    </row>
    <row r="43" spans="2:28" ht="21" x14ac:dyDescent="0.35">
      <c r="B43" s="41" t="s">
        <v>27</v>
      </c>
      <c r="C43" s="50"/>
      <c r="D43" s="47"/>
      <c r="E43" s="47"/>
      <c r="F43" s="47"/>
      <c r="G43" s="47"/>
      <c r="H43" s="104"/>
      <c r="V43" s="16"/>
      <c r="W43" s="15"/>
      <c r="X43" s="17"/>
      <c r="Y43" s="17"/>
      <c r="Z43" s="14"/>
      <c r="AA43" s="15"/>
      <c r="AB43" s="14"/>
    </row>
    <row r="44" spans="2:28" ht="21" x14ac:dyDescent="0.35">
      <c r="B44" s="41" t="s">
        <v>27</v>
      </c>
      <c r="C44" s="50"/>
      <c r="D44" s="47"/>
      <c r="E44" s="47"/>
      <c r="F44" s="47"/>
      <c r="G44" s="47"/>
      <c r="H44" s="104"/>
      <c r="I44" s="109"/>
      <c r="V44" s="16"/>
      <c r="W44" s="15"/>
      <c r="X44" s="17"/>
      <c r="Y44" s="17"/>
      <c r="Z44" s="14"/>
      <c r="AA44" s="15"/>
      <c r="AB44" s="14"/>
    </row>
    <row r="45" spans="2:28" ht="24" thickBot="1" x14ac:dyDescent="0.4">
      <c r="B45" s="41" t="s">
        <v>27</v>
      </c>
      <c r="C45" s="50"/>
      <c r="D45" s="47"/>
      <c r="E45" s="47"/>
      <c r="F45" s="47"/>
      <c r="G45" s="47"/>
      <c r="H45" s="104"/>
      <c r="V45" s="140" t="e">
        <f>_xlfn.CONCAT("Resultaat: de totale personeelskosten als gevolg van de verhoging van het minimumloon en toepassing van compensatie zullen ",IF(+$AB$40&lt;0,"dalen met:","stijgen met:"))</f>
        <v>#REF!</v>
      </c>
      <c r="W45" s="141"/>
      <c r="X45" s="141"/>
      <c r="Y45" s="141"/>
      <c r="Z45" s="21" t="e">
        <f>ABS(AB40)</f>
        <v>#REF!</v>
      </c>
      <c r="AA45" s="18"/>
      <c r="AB45" s="19"/>
    </row>
    <row r="46" spans="2:28" ht="15.75" thickTop="1" x14ac:dyDescent="0.25">
      <c r="B46" s="39" t="s">
        <v>84</v>
      </c>
      <c r="C46" s="49"/>
      <c r="D46" s="40">
        <f>SUM(IndirekteKosten2021)</f>
        <v>0</v>
      </c>
      <c r="E46" s="40">
        <f>SUM(IndirekteKosten2022)</f>
        <v>0</v>
      </c>
      <c r="F46" s="40">
        <f>SUM(IndirekteKosten2023)</f>
        <v>0</v>
      </c>
      <c r="G46" s="40">
        <f>SUM(IndirekteKosten2024)</f>
        <v>0</v>
      </c>
      <c r="H46" s="105"/>
    </row>
    <row r="47" spans="2:28" x14ac:dyDescent="0.25">
      <c r="B47" s="41"/>
      <c r="C47" s="50"/>
      <c r="D47" s="42"/>
      <c r="E47" s="42"/>
      <c r="F47" s="42"/>
      <c r="G47" s="47"/>
      <c r="H47" s="104"/>
    </row>
    <row r="48" spans="2:28" ht="18.75" customHeight="1" x14ac:dyDescent="0.25">
      <c r="B48" s="51" t="s">
        <v>85</v>
      </c>
      <c r="C48" s="52"/>
      <c r="D48" s="53" cm="1">
        <f t="array" ref="D48">BrutoWinst2021-TotaalIndirekteKosten2021</f>
        <v>0</v>
      </c>
      <c r="E48" s="53" cm="1">
        <f t="array" ref="E48">BrutoWinst2022-TotaalIndirekteKosten2022</f>
        <v>0</v>
      </c>
      <c r="F48" s="53">
        <f>BrutoWinst2023-TotaalIndirekteKosten2023</f>
        <v>0</v>
      </c>
      <c r="G48" s="40">
        <f>BrutoWinst2024-TotaalIndirekteKosten2024</f>
        <v>0</v>
      </c>
      <c r="H48" s="107"/>
    </row>
    <row r="49" spans="2:8" ht="15.75" thickBot="1" x14ac:dyDescent="0.3">
      <c r="B49" s="142" t="s">
        <v>102</v>
      </c>
      <c r="C49" s="143"/>
      <c r="D49" s="54">
        <v>0</v>
      </c>
      <c r="E49" s="54">
        <v>0</v>
      </c>
      <c r="F49" s="54">
        <v>0</v>
      </c>
      <c r="G49" s="110">
        <f>IF($C$23  = "Ja",G23,G36)*(WGP_2023 - WGP_2026)</f>
        <v>0</v>
      </c>
      <c r="H49" s="55"/>
    </row>
    <row r="53" spans="2:8" x14ac:dyDescent="0.25">
      <c r="D53" s="27"/>
    </row>
    <row r="54" spans="2:8" x14ac:dyDescent="0.25">
      <c r="D54" s="27"/>
    </row>
  </sheetData>
  <sheetProtection algorithmName="SHA-512" hashValue="8gTcuLMhk/ZtIzR9i9oJ43Tng38s/c58mLd9LMcFTxVGDzdEPkfLx/MXxDty+nOtGf/jrZJ6Fbzj9i4BqkH2Qw==" saltValue="+aVRovL+2+HQ5JIFkLxDKA==" spinCount="100000" sheet="1" insertRows="0" selectLockedCells="1"/>
  <mergeCells count="8">
    <mergeCell ref="A7:H7"/>
    <mergeCell ref="V45:Y45"/>
    <mergeCell ref="B49:C49"/>
    <mergeCell ref="A2:H2"/>
    <mergeCell ref="A3:H3"/>
    <mergeCell ref="A4:H4"/>
    <mergeCell ref="A5:H5"/>
    <mergeCell ref="A6:H6"/>
  </mergeCells>
  <dataValidations disablePrompts="1" count="1">
    <dataValidation type="list" allowBlank="1" showInputMessage="1" showErrorMessage="1" sqref="C23 C10" xr:uid="{EA956552-BDB3-4409-8DD7-AD235C9B6901}">
      <formula1>"Ja,Nee"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3ECC8-FF32-4C50-9146-D5A75B620F6E}">
  <dimension ref="B5:D11"/>
  <sheetViews>
    <sheetView workbookViewId="0">
      <selection activeCell="C19" sqref="C19"/>
    </sheetView>
  </sheetViews>
  <sheetFormatPr defaultColWidth="8.85546875" defaultRowHeight="15" x14ac:dyDescent="0.25"/>
  <cols>
    <col min="2" max="2" width="14.42578125" customWidth="1"/>
    <col min="3" max="3" width="10.140625" bestFit="1" customWidth="1"/>
    <col min="4" max="4" width="10.42578125" customWidth="1"/>
  </cols>
  <sheetData>
    <row r="5" spans="2:4" x14ac:dyDescent="0.25">
      <c r="B5" t="s">
        <v>0</v>
      </c>
      <c r="C5" t="s">
        <v>1</v>
      </c>
      <c r="D5" t="s">
        <v>2</v>
      </c>
    </row>
    <row r="6" spans="2:4" x14ac:dyDescent="0.25">
      <c r="B6" s="3"/>
      <c r="C6" s="1">
        <v>0.13400000000000001</v>
      </c>
      <c r="D6" s="1">
        <v>0.11899999999999999</v>
      </c>
    </row>
    <row r="10" spans="2:4" x14ac:dyDescent="0.25">
      <c r="B10" t="s">
        <v>3</v>
      </c>
      <c r="C10" t="s">
        <v>1</v>
      </c>
      <c r="D10" s="4" t="s">
        <v>4</v>
      </c>
    </row>
    <row r="11" spans="2:4" x14ac:dyDescent="0.25">
      <c r="B11" s="3"/>
      <c r="C11" s="2">
        <v>1570.4</v>
      </c>
      <c r="D11" s="2">
        <v>1750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48</vt:i4>
      </vt:variant>
    </vt:vector>
  </HeadingPairs>
  <TitlesOfParts>
    <vt:vector size="51" baseType="lpstr">
      <vt:lpstr>Empleado</vt:lpstr>
      <vt:lpstr>Resúmen</vt:lpstr>
      <vt:lpstr>vastgegevens</vt:lpstr>
      <vt:lpstr>BrutoMarge2021</vt:lpstr>
      <vt:lpstr>BrutoMarge2022</vt:lpstr>
      <vt:lpstr>BrutoWinst2021</vt:lpstr>
      <vt:lpstr>BrutoWinst2022</vt:lpstr>
      <vt:lpstr>BrutoWinst2023</vt:lpstr>
      <vt:lpstr>BrutoWinst2024</vt:lpstr>
      <vt:lpstr>BrutoWinst2025</vt:lpstr>
      <vt:lpstr>DertiendeMaand</vt:lpstr>
      <vt:lpstr>DirekteKosten2021</vt:lpstr>
      <vt:lpstr>DirekteKosten2022</vt:lpstr>
      <vt:lpstr>DirekteKosten2023</vt:lpstr>
      <vt:lpstr>DirekteKosten2024</vt:lpstr>
      <vt:lpstr>DirekteKosten2025</vt:lpstr>
      <vt:lpstr>indi</vt:lpstr>
      <vt:lpstr>IndirekteKosten2021</vt:lpstr>
      <vt:lpstr>IndirekteKosten2022</vt:lpstr>
      <vt:lpstr>IndirekteKosten2023</vt:lpstr>
      <vt:lpstr>IndirekteKosten2024</vt:lpstr>
      <vt:lpstr>IndirekteKosten2025</vt:lpstr>
      <vt:lpstr>leeftijd</vt:lpstr>
      <vt:lpstr>lstFunctieNamen</vt:lpstr>
      <vt:lpstr>max_sal</vt:lpstr>
      <vt:lpstr>minimum2023</vt:lpstr>
      <vt:lpstr>minimum202401</vt:lpstr>
      <vt:lpstr>minimum202402</vt:lpstr>
      <vt:lpstr>minimum202501</vt:lpstr>
      <vt:lpstr>minimum202601</vt:lpstr>
      <vt:lpstr>Empleado!OLE_LINK1</vt:lpstr>
      <vt:lpstr>Omzet2021</vt:lpstr>
      <vt:lpstr>Omzet2022</vt:lpstr>
      <vt:lpstr>Omzet2023</vt:lpstr>
      <vt:lpstr>Omzet2024</vt:lpstr>
      <vt:lpstr>Omzet2025</vt:lpstr>
      <vt:lpstr>TotaaDirekteKosten2021</vt:lpstr>
      <vt:lpstr>TotaalDirekteKodten2023</vt:lpstr>
      <vt:lpstr>TotaalDirekteKosten2022</vt:lpstr>
      <vt:lpstr>TotaalDirekteKosten2024</vt:lpstr>
      <vt:lpstr>TotaalDirekteKosten2025</vt:lpstr>
      <vt:lpstr>TotaalIndirekteKosten2021</vt:lpstr>
      <vt:lpstr>TotaalIndirekteKosten2022</vt:lpstr>
      <vt:lpstr>TotaalIndirekteKosten2023</vt:lpstr>
      <vt:lpstr>TotaalIndirekteKosten2024</vt:lpstr>
      <vt:lpstr>TotaalIndirekteKosten2025</vt:lpstr>
      <vt:lpstr>UitbetaalPer</vt:lpstr>
      <vt:lpstr>WGP_2023</vt:lpstr>
      <vt:lpstr>WGP_2024</vt:lpstr>
      <vt:lpstr>WGP_2025</vt:lpstr>
      <vt:lpstr>WGP_2026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Caljouw</dc:creator>
  <cp:lastModifiedBy>Maarten Caljouw</cp:lastModifiedBy>
  <cp:lastPrinted>2024-02-20T16:08:59Z</cp:lastPrinted>
  <dcterms:created xsi:type="dcterms:W3CDTF">2023-12-19T13:42:17Z</dcterms:created>
  <dcterms:modified xsi:type="dcterms:W3CDTF">2026-02-05T19:15:16Z</dcterms:modified>
</cp:coreProperties>
</file>